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C.CAR\MICROSOFT\DOSSIERS TECHNIQUES\ENERGIE\ENERGIES\"/>
    </mc:Choice>
  </mc:AlternateContent>
  <xr:revisionPtr revIDLastSave="0" documentId="8_{E74436FE-312F-437E-B3E8-29BB404CC94E}" xr6:coauthVersionLast="45" xr6:coauthVersionMax="45" xr10:uidLastSave="{00000000-0000-0000-0000-000000000000}"/>
  <bookViews>
    <workbookView xWindow="-120" yWindow="-120" windowWidth="24240" windowHeight="13140" tabRatio="585" activeTab="3"/>
  </bookViews>
  <sheets>
    <sheet name="ACCUEIL" sheetId="1" r:id="rId1"/>
    <sheet name="CONSOMMATEURS" sheetId="2" r:id="rId2"/>
    <sheet name="PRODUCTEURS" sheetId="3" r:id="rId3"/>
    <sheet name="AUTONOMIE HIVER" sheetId="4" r:id="rId4"/>
    <sheet name="AUTONOMIE ET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4" l="1"/>
  <c r="B14" i="5"/>
  <c r="B16" i="5" s="1"/>
  <c r="D14" i="5"/>
  <c r="F14" i="5"/>
  <c r="F16" i="5" s="1"/>
  <c r="H14" i="5"/>
  <c r="J14" i="5"/>
  <c r="J16" i="5" s="1"/>
  <c r="L14" i="5"/>
  <c r="N14" i="5"/>
  <c r="N16" i="5" s="1"/>
  <c r="B15" i="5"/>
  <c r="D15" i="5"/>
  <c r="F15" i="5"/>
  <c r="H15" i="5"/>
  <c r="J15" i="5"/>
  <c r="L15" i="5"/>
  <c r="N15" i="5"/>
  <c r="D16" i="5"/>
  <c r="H16" i="5"/>
  <c r="L16" i="5"/>
  <c r="T17" i="5"/>
  <c r="V17" i="5"/>
  <c r="X17" i="5"/>
  <c r="Z17" i="5" s="1"/>
  <c r="AB17" i="5" s="1"/>
  <c r="F19" i="5"/>
  <c r="H19" i="5"/>
  <c r="S22" i="5"/>
  <c r="U22" i="5"/>
  <c r="W22" i="5"/>
  <c r="AA22" i="5"/>
  <c r="AC22" i="5"/>
  <c r="B23" i="5"/>
  <c r="D23" i="5"/>
  <c r="F23" i="5"/>
  <c r="H23" i="5"/>
  <c r="J23" i="5"/>
  <c r="L23" i="5"/>
  <c r="N23" i="5"/>
  <c r="B24" i="5"/>
  <c r="D24" i="5"/>
  <c r="F24" i="5"/>
  <c r="H24" i="5"/>
  <c r="J24" i="5"/>
  <c r="L24" i="5"/>
  <c r="N24" i="5"/>
  <c r="B25" i="5"/>
  <c r="D25" i="5"/>
  <c r="F25" i="5"/>
  <c r="H25" i="5"/>
  <c r="J25" i="5"/>
  <c r="L25" i="5"/>
  <c r="N25" i="5"/>
  <c r="C30" i="5"/>
  <c r="E30" i="5"/>
  <c r="G30" i="5"/>
  <c r="I30" i="5"/>
  <c r="K30" i="5"/>
  <c r="M30" i="5"/>
  <c r="O30" i="5"/>
  <c r="P5" i="4"/>
  <c r="T5" i="4"/>
  <c r="V5" i="4"/>
  <c r="X5" i="4"/>
  <c r="Z5" i="4"/>
  <c r="B9" i="4"/>
  <c r="D9" i="4"/>
  <c r="K9" i="4"/>
  <c r="M9" i="4"/>
  <c r="Q13" i="4"/>
  <c r="B14" i="4"/>
  <c r="D14" i="4"/>
  <c r="F14" i="4"/>
  <c r="H14" i="4"/>
  <c r="J14" i="4"/>
  <c r="L14" i="4"/>
  <c r="B15" i="4"/>
  <c r="D15" i="4"/>
  <c r="F15" i="4"/>
  <c r="H15" i="4"/>
  <c r="H16" i="4" s="1"/>
  <c r="J15" i="4"/>
  <c r="L15" i="4"/>
  <c r="L16" i="4" s="1"/>
  <c r="R15" i="4"/>
  <c r="T15" i="4"/>
  <c r="V15" i="4" s="1"/>
  <c r="X15" i="4"/>
  <c r="Z15" i="4" s="1"/>
  <c r="B16" i="4"/>
  <c r="F16" i="4"/>
  <c r="I16" i="4"/>
  <c r="J16" i="4"/>
  <c r="C17" i="4"/>
  <c r="I17" i="4"/>
  <c r="R17" i="4"/>
  <c r="Y17" i="4"/>
  <c r="E18" i="4"/>
  <c r="E19" i="4" s="1"/>
  <c r="M18" i="4"/>
  <c r="H19" i="4"/>
  <c r="L19" i="4"/>
  <c r="G20" i="4"/>
  <c r="I20" i="4"/>
  <c r="Q21" i="4"/>
  <c r="S21" i="4"/>
  <c r="U21" i="4"/>
  <c r="W21" i="4"/>
  <c r="Y21" i="4"/>
  <c r="AA21" i="4"/>
  <c r="AA22" i="4" s="1"/>
  <c r="Q22" i="4"/>
  <c r="S22" i="4"/>
  <c r="U22" i="4"/>
  <c r="W22" i="4"/>
  <c r="Y22" i="4"/>
  <c r="B23" i="4"/>
  <c r="C23" i="4"/>
  <c r="D23" i="4"/>
  <c r="F23" i="4"/>
  <c r="G23" i="4"/>
  <c r="H23" i="4"/>
  <c r="J23" i="4"/>
  <c r="K23" i="4"/>
  <c r="L23" i="4"/>
  <c r="B24" i="4"/>
  <c r="D24" i="4"/>
  <c r="F24" i="4"/>
  <c r="H24" i="4"/>
  <c r="J24" i="4"/>
  <c r="L24" i="4"/>
  <c r="B25" i="4"/>
  <c r="D25" i="4"/>
  <c r="E25" i="4"/>
  <c r="F25" i="4"/>
  <c r="H25" i="4"/>
  <c r="I25" i="4"/>
  <c r="J25" i="4"/>
  <c r="L25" i="4"/>
  <c r="M25" i="4"/>
  <c r="W25" i="4"/>
  <c r="C27" i="4"/>
  <c r="E27" i="4"/>
  <c r="K27" i="4"/>
  <c r="M27" i="4"/>
  <c r="W27" i="4"/>
  <c r="Q29" i="4"/>
  <c r="S29" i="4"/>
  <c r="Y29" i="4"/>
  <c r="AA29" i="4"/>
  <c r="C30" i="4"/>
  <c r="E30" i="4"/>
  <c r="G30" i="4"/>
  <c r="I30" i="4"/>
  <c r="K30" i="4"/>
  <c r="M30" i="4"/>
  <c r="S30" i="4"/>
  <c r="AA30" i="4"/>
  <c r="U32" i="4"/>
  <c r="W32" i="4"/>
  <c r="A6" i="2"/>
  <c r="E9" i="4" s="1"/>
  <c r="D6" i="2"/>
  <c r="E6" i="2"/>
  <c r="A7" i="2"/>
  <c r="E7" i="2"/>
  <c r="A8" i="2"/>
  <c r="D8" i="2"/>
  <c r="E8" i="2"/>
  <c r="B9" i="2"/>
  <c r="A9" i="2" s="1"/>
  <c r="D9" i="2"/>
  <c r="E9" i="2"/>
  <c r="B10" i="2"/>
  <c r="A10" i="2" s="1"/>
  <c r="D10" i="2"/>
  <c r="E10" i="2"/>
  <c r="C21" i="4" s="1"/>
  <c r="B11" i="2"/>
  <c r="A11" i="2" s="1"/>
  <c r="D11" i="2"/>
  <c r="E11" i="2"/>
  <c r="B12" i="2"/>
  <c r="A12" i="2" s="1"/>
  <c r="D12" i="2"/>
  <c r="E12" i="2"/>
  <c r="A13" i="2"/>
  <c r="C25" i="4" s="1"/>
  <c r="D13" i="2"/>
  <c r="E13" i="2"/>
  <c r="A14" i="2"/>
  <c r="D14" i="2"/>
  <c r="E14" i="2"/>
  <c r="A15" i="2"/>
  <c r="E16" i="2"/>
  <c r="E17" i="2"/>
  <c r="A18" i="2"/>
  <c r="E18" i="2"/>
  <c r="A19" i="2"/>
  <c r="G13" i="4" s="1"/>
  <c r="E19" i="2"/>
  <c r="A20" i="2"/>
  <c r="E20" i="2"/>
  <c r="I14" i="4" s="1"/>
  <c r="A21" i="2"/>
  <c r="E21" i="2"/>
  <c r="A22" i="2"/>
  <c r="E22" i="2"/>
  <c r="A23" i="2"/>
  <c r="E23" i="2"/>
  <c r="A24" i="2"/>
  <c r="E24" i="2"/>
  <c r="A6" i="3"/>
  <c r="E6" i="3"/>
  <c r="E7" i="3"/>
  <c r="S13" i="5" s="1"/>
  <c r="A9" i="3"/>
  <c r="W19" i="4" s="1"/>
  <c r="A11" i="3"/>
  <c r="B13" i="3"/>
  <c r="A13" i="3" s="1"/>
  <c r="E13" i="3"/>
  <c r="B14" i="3"/>
  <c r="A14" i="3" s="1"/>
  <c r="E14" i="3"/>
  <c r="S17" i="4" s="1"/>
  <c r="A15" i="3"/>
  <c r="B15" i="3"/>
  <c r="E15" i="3"/>
  <c r="A17" i="3"/>
  <c r="W30" i="4" s="1"/>
  <c r="A18" i="3"/>
  <c r="A19" i="3"/>
  <c r="S32" i="4" s="1"/>
  <c r="A21" i="3"/>
  <c r="A23" i="3"/>
  <c r="S27" i="4" s="1"/>
  <c r="A25" i="3"/>
  <c r="W24" i="4" s="1"/>
  <c r="B25" i="3"/>
  <c r="E25" i="3"/>
  <c r="A26" i="3"/>
  <c r="S25" i="4" s="1"/>
  <c r="B26" i="3"/>
  <c r="E26" i="3"/>
  <c r="A28" i="3"/>
  <c r="E11" i="5" l="1"/>
  <c r="M11" i="5"/>
  <c r="G11" i="5"/>
  <c r="O11" i="5"/>
  <c r="I11" i="4"/>
  <c r="I11" i="5"/>
  <c r="C11" i="4"/>
  <c r="K11" i="4"/>
  <c r="C11" i="5"/>
  <c r="K11" i="5"/>
  <c r="M11" i="4"/>
  <c r="E11" i="4"/>
  <c r="G11" i="4"/>
  <c r="E24" i="5"/>
  <c r="I24" i="5"/>
  <c r="M24" i="5"/>
  <c r="C24" i="5"/>
  <c r="G24" i="5"/>
  <c r="K24" i="5"/>
  <c r="O24" i="5"/>
  <c r="G24" i="4"/>
  <c r="E24" i="4"/>
  <c r="I24" i="4"/>
  <c r="M24" i="4"/>
  <c r="C24" i="4"/>
  <c r="K24" i="4"/>
  <c r="W15" i="5"/>
  <c r="Y15" i="5"/>
  <c r="Q15" i="4"/>
  <c r="U15" i="4"/>
  <c r="Y15" i="4"/>
  <c r="S15" i="5"/>
  <c r="AA15" i="5"/>
  <c r="U15" i="5"/>
  <c r="AC15" i="5"/>
  <c r="S15" i="4"/>
  <c r="AA15" i="4"/>
  <c r="W15" i="4"/>
  <c r="Y31" i="5"/>
  <c r="S31" i="5"/>
  <c r="AA31" i="5"/>
  <c r="U31" i="5"/>
  <c r="AC31" i="5"/>
  <c r="W31" i="5"/>
  <c r="C15" i="5"/>
  <c r="G15" i="5"/>
  <c r="K15" i="5"/>
  <c r="O15" i="5"/>
  <c r="C15" i="4"/>
  <c r="G15" i="4"/>
  <c r="K15" i="4"/>
  <c r="E15" i="5"/>
  <c r="I15" i="5"/>
  <c r="M15" i="5"/>
  <c r="B18" i="4"/>
  <c r="C19" i="4" s="1"/>
  <c r="F18" i="4"/>
  <c r="J18" i="4"/>
  <c r="E12" i="4"/>
  <c r="M12" i="4"/>
  <c r="G12" i="4"/>
  <c r="G31" i="5"/>
  <c r="O31" i="5"/>
  <c r="I31" i="5"/>
  <c r="C31" i="5"/>
  <c r="K31" i="5"/>
  <c r="E31" i="5"/>
  <c r="M31" i="5"/>
  <c r="AA31" i="4"/>
  <c r="I31" i="4"/>
  <c r="S24" i="4"/>
  <c r="C16" i="4"/>
  <c r="G16" i="4"/>
  <c r="K16" i="4"/>
  <c r="Y31" i="4"/>
  <c r="Q31" i="4"/>
  <c r="Y30" i="4"/>
  <c r="Q30" i="4"/>
  <c r="U27" i="4"/>
  <c r="U25" i="4"/>
  <c r="Y24" i="4"/>
  <c r="Q24" i="4"/>
  <c r="G21" i="4"/>
  <c r="Y19" i="4"/>
  <c r="Q19" i="4"/>
  <c r="I15" i="4"/>
  <c r="M13" i="4"/>
  <c r="U29" i="5"/>
  <c r="AC29" i="5"/>
  <c r="W29" i="5"/>
  <c r="Y29" i="5"/>
  <c r="S29" i="5"/>
  <c r="AA29" i="5"/>
  <c r="A7" i="3"/>
  <c r="C16" i="5"/>
  <c r="G16" i="5"/>
  <c r="K16" i="5"/>
  <c r="O16" i="5"/>
  <c r="E16" i="5"/>
  <c r="I16" i="5"/>
  <c r="M16" i="5"/>
  <c r="E14" i="5"/>
  <c r="I14" i="5"/>
  <c r="M14" i="5"/>
  <c r="C14" i="5"/>
  <c r="G14" i="5"/>
  <c r="K14" i="5"/>
  <c r="O14" i="5"/>
  <c r="G17" i="5"/>
  <c r="O17" i="5"/>
  <c r="I17" i="5"/>
  <c r="E17" i="4"/>
  <c r="M17" i="4"/>
  <c r="C17" i="5"/>
  <c r="K17" i="5"/>
  <c r="G17" i="4"/>
  <c r="E17" i="5"/>
  <c r="M17" i="5"/>
  <c r="E20" i="5"/>
  <c r="M20" i="5"/>
  <c r="G20" i="5"/>
  <c r="O20" i="5"/>
  <c r="I20" i="5"/>
  <c r="C20" i="5"/>
  <c r="K20" i="5"/>
  <c r="C23" i="5"/>
  <c r="G23" i="5"/>
  <c r="K23" i="5"/>
  <c r="O23" i="5"/>
  <c r="E23" i="5"/>
  <c r="I23" i="5"/>
  <c r="M23" i="5"/>
  <c r="AA32" i="4"/>
  <c r="W31" i="4"/>
  <c r="M31" i="4"/>
  <c r="E31" i="4"/>
  <c r="W29" i="4"/>
  <c r="AA27" i="4"/>
  <c r="I27" i="4"/>
  <c r="AA25" i="4"/>
  <c r="K25" i="4"/>
  <c r="G25" i="4"/>
  <c r="M23" i="4"/>
  <c r="I23" i="4"/>
  <c r="E23" i="4"/>
  <c r="M21" i="4"/>
  <c r="E21" i="4"/>
  <c r="M20" i="4"/>
  <c r="E20" i="4"/>
  <c r="L18" i="4"/>
  <c r="M19" i="4" s="1"/>
  <c r="D18" i="4"/>
  <c r="M16" i="4"/>
  <c r="M15" i="4"/>
  <c r="C12" i="4"/>
  <c r="S24" i="5"/>
  <c r="AA24" i="5"/>
  <c r="U24" i="5"/>
  <c r="AC24" i="5"/>
  <c r="W24" i="5"/>
  <c r="Y24" i="5"/>
  <c r="Y19" i="5"/>
  <c r="S19" i="5"/>
  <c r="S33" i="5" s="1"/>
  <c r="S34" i="5" s="1"/>
  <c r="AA19" i="5"/>
  <c r="U19" i="5"/>
  <c r="AC19" i="5"/>
  <c r="W19" i="5"/>
  <c r="G13" i="5"/>
  <c r="O13" i="5"/>
  <c r="I13" i="5"/>
  <c r="I13" i="4"/>
  <c r="C13" i="5"/>
  <c r="K13" i="5"/>
  <c r="C13" i="4"/>
  <c r="K13" i="4"/>
  <c r="E13" i="5"/>
  <c r="M13" i="5"/>
  <c r="S31" i="4"/>
  <c r="AA24" i="4"/>
  <c r="I21" i="4"/>
  <c r="AA19" i="4"/>
  <c r="S19" i="4"/>
  <c r="H18" i="4"/>
  <c r="I19" i="4" s="1"/>
  <c r="E15" i="4"/>
  <c r="K12" i="4"/>
  <c r="S25" i="5"/>
  <c r="AA25" i="5"/>
  <c r="U25" i="5"/>
  <c r="AC25" i="5"/>
  <c r="W25" i="5"/>
  <c r="Y25" i="5"/>
  <c r="Y27" i="5"/>
  <c r="S27" i="5"/>
  <c r="AA27" i="5"/>
  <c r="U27" i="5"/>
  <c r="AC27" i="5"/>
  <c r="W27" i="5"/>
  <c r="S30" i="5"/>
  <c r="AA30" i="5"/>
  <c r="U30" i="5"/>
  <c r="AC30" i="5"/>
  <c r="W30" i="5"/>
  <c r="Y30" i="5"/>
  <c r="S17" i="5"/>
  <c r="W17" i="5"/>
  <c r="AA17" i="5"/>
  <c r="U17" i="4"/>
  <c r="Q17" i="4"/>
  <c r="W17" i="4"/>
  <c r="U17" i="5"/>
  <c r="Y17" i="5"/>
  <c r="AC17" i="5"/>
  <c r="C14" i="4"/>
  <c r="G14" i="4"/>
  <c r="K14" i="4"/>
  <c r="C19" i="5"/>
  <c r="O19" i="5"/>
  <c r="E19" i="5"/>
  <c r="I19" i="5"/>
  <c r="K19" i="5"/>
  <c r="G19" i="5"/>
  <c r="M19" i="5"/>
  <c r="G31" i="4"/>
  <c r="E14" i="4"/>
  <c r="I12" i="4"/>
  <c r="U32" i="5"/>
  <c r="AC32" i="5"/>
  <c r="W32" i="5"/>
  <c r="Y32" i="5"/>
  <c r="S32" i="5"/>
  <c r="AA32" i="5"/>
  <c r="W21" i="5"/>
  <c r="AE21" i="5"/>
  <c r="AE22" i="5" s="1"/>
  <c r="Y21" i="5"/>
  <c r="Y22" i="5" s="1"/>
  <c r="S21" i="5"/>
  <c r="AA21" i="5"/>
  <c r="U21" i="5"/>
  <c r="AC21" i="5"/>
  <c r="C18" i="4"/>
  <c r="G18" i="4"/>
  <c r="G19" i="4" s="1"/>
  <c r="K18" i="4"/>
  <c r="K19" i="4" s="1"/>
  <c r="G27" i="5"/>
  <c r="O27" i="5"/>
  <c r="E25" i="5"/>
  <c r="I25" i="5"/>
  <c r="M25" i="5"/>
  <c r="I27" i="5"/>
  <c r="C27" i="5"/>
  <c r="K27" i="5"/>
  <c r="C25" i="5"/>
  <c r="G25" i="5"/>
  <c r="K25" i="5"/>
  <c r="O25" i="5"/>
  <c r="E27" i="5"/>
  <c r="M27" i="5"/>
  <c r="G9" i="4"/>
  <c r="C9" i="5"/>
  <c r="C9" i="4"/>
  <c r="I9" i="4"/>
  <c r="I34" i="4" s="1"/>
  <c r="E9" i="5"/>
  <c r="Y32" i="4"/>
  <c r="Q32" i="4"/>
  <c r="U31" i="4"/>
  <c r="K31" i="4"/>
  <c r="C31" i="4"/>
  <c r="U30" i="4"/>
  <c r="U29" i="4"/>
  <c r="Y27" i="4"/>
  <c r="Q27" i="4"/>
  <c r="G27" i="4"/>
  <c r="Y25" i="4"/>
  <c r="Q25" i="4"/>
  <c r="U24" i="4"/>
  <c r="K21" i="4"/>
  <c r="K20" i="4"/>
  <c r="C20" i="4"/>
  <c r="U19" i="4"/>
  <c r="I18" i="4"/>
  <c r="AA17" i="4"/>
  <c r="K17" i="4"/>
  <c r="M14" i="4"/>
  <c r="E13" i="4"/>
  <c r="D16" i="4"/>
  <c r="E16" i="4" s="1"/>
  <c r="Q33" i="4" l="1"/>
  <c r="Q34" i="4" s="1"/>
  <c r="K37" i="4"/>
  <c r="Y20" i="4" s="1"/>
  <c r="M37" i="4"/>
  <c r="AA20" i="4" s="1"/>
  <c r="C37" i="4"/>
  <c r="Q20" i="4" s="1"/>
  <c r="C34" i="5"/>
  <c r="R35" i="5" s="1"/>
  <c r="M34" i="4"/>
  <c r="K37" i="5"/>
  <c r="I37" i="5"/>
  <c r="M37" i="5"/>
  <c r="E37" i="4"/>
  <c r="S20" i="4" s="1"/>
  <c r="K34" i="4"/>
  <c r="G37" i="5"/>
  <c r="G9" i="5"/>
  <c r="I9" i="5"/>
  <c r="I34" i="5" s="1"/>
  <c r="E34" i="5"/>
  <c r="K9" i="5"/>
  <c r="K34" i="5" s="1"/>
  <c r="M9" i="5"/>
  <c r="M34" i="5" s="1"/>
  <c r="G34" i="4"/>
  <c r="E34" i="4"/>
  <c r="G37" i="4"/>
  <c r="U20" i="4" s="1"/>
  <c r="C37" i="5"/>
  <c r="I37" i="4"/>
  <c r="W20" i="4" s="1"/>
  <c r="E37" i="5"/>
  <c r="T6" i="5" l="1"/>
  <c r="U9" i="5"/>
  <c r="U33" i="5" s="1"/>
  <c r="U34" i="5" s="1"/>
  <c r="T35" i="5" s="1"/>
  <c r="O9" i="5"/>
  <c r="O34" i="5" s="1"/>
  <c r="G34" i="5"/>
  <c r="P35" i="4"/>
  <c r="V6" i="5" l="1"/>
  <c r="W9" i="5"/>
  <c r="W33" i="5" s="1"/>
  <c r="W34" i="5" s="1"/>
  <c r="V35" i="5" s="1"/>
  <c r="S9" i="4"/>
  <c r="S33" i="4" s="1"/>
  <c r="R6" i="4"/>
  <c r="S34" i="4" l="1"/>
  <c r="R35" i="4"/>
  <c r="X6" i="5"/>
  <c r="Y9" i="5"/>
  <c r="Y33" i="5" s="1"/>
  <c r="Y34" i="5" s="1"/>
  <c r="X35" i="5" s="1"/>
  <c r="AA9" i="5" l="1"/>
  <c r="AA33" i="5" s="1"/>
  <c r="AA34" i="5" s="1"/>
  <c r="Z35" i="5" s="1"/>
  <c r="Z6" i="5"/>
  <c r="T6" i="4"/>
  <c r="U9" i="4"/>
  <c r="U33" i="4" s="1"/>
  <c r="U34" i="4" l="1"/>
  <c r="T35" i="4"/>
  <c r="AB6" i="5"/>
  <c r="AC9" i="5"/>
  <c r="AC33" i="5" s="1"/>
  <c r="AC34" i="5" s="1"/>
  <c r="AB35" i="5" s="1"/>
  <c r="AD6" i="5" l="1"/>
  <c r="AE9" i="5"/>
  <c r="AE33" i="5" s="1"/>
  <c r="AE34" i="5" s="1"/>
  <c r="AD35" i="5" s="1"/>
  <c r="V6" i="4"/>
  <c r="W9" i="4"/>
  <c r="W33" i="4" s="1"/>
  <c r="V35" i="4" l="1"/>
  <c r="W34" i="4"/>
  <c r="X6" i="4" l="1"/>
  <c r="Y9" i="4"/>
  <c r="Y33" i="4" s="1"/>
  <c r="X35" i="4" l="1"/>
  <c r="Y34" i="4"/>
  <c r="AA9" i="4" l="1"/>
  <c r="AA33" i="4" s="1"/>
  <c r="Z6" i="4"/>
  <c r="Z35" i="4" l="1"/>
  <c r="AA34" i="4"/>
</calcChain>
</file>

<file path=xl/comments1.xml><?xml version="1.0" encoding="utf-8"?>
<comments xmlns="http://schemas.openxmlformats.org/spreadsheetml/2006/main">
  <authors>
    <author/>
  </authors>
  <commentList>
    <comment ref="B17" authorId="0" shapeId="0">
      <text>
        <r>
          <rPr>
            <sz val="11"/>
            <color indexed="8"/>
            <rFont val="Calibri"/>
            <family val="2"/>
          </rPr>
          <t>Puissance 2000/4000W
Soit maxi 67W=5,6A en 12V
Soit moy  15W= 1,2A en 12V</t>
        </r>
      </text>
    </comment>
    <comment ref="D17" authorId="0" shapeId="0">
      <text>
        <r>
          <rPr>
            <sz val="11"/>
            <color indexed="8"/>
            <rFont val="Calibri"/>
            <family val="2"/>
          </rPr>
          <t>Puissance 2000/4000W
Soit maxi 67W=5,6A en 12V
Soit moy  15W= 1,2A en 12V</t>
        </r>
      </text>
    </comment>
    <comment ref="C21" authorId="0" shapeId="0">
      <text>
        <r>
          <rPr>
            <sz val="11"/>
            <color indexed="8"/>
            <rFont val="Calibri"/>
            <family val="2"/>
          </rPr>
          <t>1W en veille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 shapeId="0">
      <text>
        <r>
          <rPr>
            <b/>
            <sz val="9"/>
            <color indexed="8"/>
            <rFont val="Tahoma"/>
            <family val="2"/>
          </rPr>
          <t>A cause du regulateur
de charge</t>
        </r>
      </text>
    </comment>
    <comment ref="E9" authorId="0" shapeId="0">
      <text>
        <r>
          <rPr>
            <b/>
            <sz val="9"/>
            <color indexed="8"/>
            <rFont val="Tahoma"/>
            <family val="2"/>
          </rPr>
          <t>A cause du regulateur
de charge</t>
        </r>
      </text>
    </comment>
    <comment ref="A11" authorId="0" shapeId="0">
      <text>
        <r>
          <rPr>
            <b/>
            <sz val="9"/>
            <color indexed="8"/>
            <rFont val="Tahoma"/>
            <family val="2"/>
          </rPr>
          <t>Si &gt; 1500 T/mn</t>
        </r>
      </text>
    </comment>
    <comment ref="E11" authorId="0" shapeId="0">
      <text>
        <r>
          <rPr>
            <b/>
            <sz val="9"/>
            <color indexed="8"/>
            <rFont val="Tahoma"/>
            <family val="2"/>
          </rPr>
          <t>Si &gt; 1500 tours</t>
        </r>
      </text>
    </comment>
    <comment ref="C28" authorId="0" shapeId="0">
      <text>
        <r>
          <rPr>
            <b/>
            <sz val="9"/>
            <color indexed="8"/>
            <rFont val="Tahoma"/>
            <family val="2"/>
          </rPr>
          <t xml:space="preserve">Attention
</t>
        </r>
        <r>
          <rPr>
            <sz val="9"/>
            <color indexed="8"/>
            <rFont val="Tahoma"/>
            <family val="2"/>
          </rPr>
          <t>les batteries stationnaires
n'aiment pas etre chargée
trop rapidement.</t>
        </r>
      </text>
    </comment>
    <comment ref="E28" authorId="0" shapeId="0">
      <text>
        <r>
          <rPr>
            <sz val="9"/>
            <color indexed="8"/>
            <rFont val="Tahoma"/>
            <family val="2"/>
          </rPr>
          <t>Attention la batterie
doit etre branchée en direct
sans passer par régulateur</t>
        </r>
      </text>
    </comment>
  </commentList>
</comments>
</file>

<file path=xl/sharedStrings.xml><?xml version="1.0" encoding="utf-8"?>
<sst xmlns="http://schemas.openxmlformats.org/spreadsheetml/2006/main" count="267" uniqueCount="130">
  <si>
    <t>L'ENERGIE ELECTRIQUE DANS UN CAMPING-CAR</t>
  </si>
  <si>
    <t>LES CONSOMMATEURS D'ENERGIE ELECTRIQUE</t>
  </si>
  <si>
    <t>CLIC</t>
  </si>
  <si>
    <t>Pour info</t>
  </si>
  <si>
    <t>LES PRODUCTEURS D'ENERGIE ELECTRIQUE</t>
  </si>
  <si>
    <t>QUELS SONT VOS PROPRES DEPENSES ENERGETIQUES</t>
  </si>
  <si>
    <t>ELECTRIQUES EN HIVER</t>
  </si>
  <si>
    <t>Pour approfondir</t>
  </si>
  <si>
    <t>ELECTRIQUES EN ÉTÉ</t>
  </si>
  <si>
    <t>Mise à jour</t>
  </si>
  <si>
    <t>26 avril 2016</t>
  </si>
  <si>
    <t>JL.S</t>
  </si>
  <si>
    <t>CONSOMMATEURS ENERGETIQUES D'UN CAMPING-CAR</t>
  </si>
  <si>
    <t>ÉTÉ</t>
  </si>
  <si>
    <t>RETOUR PAGE ACCUEIL</t>
  </si>
  <si>
    <t>HIVER</t>
  </si>
  <si>
    <t>Ampère</t>
  </si>
  <si>
    <t>Puissance
(Watts)</t>
  </si>
  <si>
    <t>Consommateurs</t>
  </si>
  <si>
    <t>Electronique cellule</t>
  </si>
  <si>
    <t>Prise 12 V</t>
  </si>
  <si>
    <t>Pompe à eau</t>
  </si>
  <si>
    <t>S.Ob</t>
  </si>
  <si>
    <t>Antenne auto</t>
  </si>
  <si>
    <t>Télévision</t>
  </si>
  <si>
    <t>Ordinateur</t>
  </si>
  <si>
    <t>Autres</t>
  </si>
  <si>
    <t>ACQUISITIONS ENERGETIQUES D'UN CAMPING-CAR</t>
  </si>
  <si>
    <t>Producteurs</t>
  </si>
  <si>
    <t>85% utile</t>
  </si>
  <si>
    <t>Batterie AGM 80 Ah</t>
  </si>
  <si>
    <t>Batterie AGM 100 Ah</t>
  </si>
  <si>
    <t>Réseau 220 V</t>
  </si>
  <si>
    <t>50 A utile/h</t>
  </si>
  <si>
    <t>Alternateur 90A /h</t>
  </si>
  <si>
    <t>Pile EFOY 80</t>
  </si>
  <si>
    <t>Pile EFOY 140</t>
  </si>
  <si>
    <t>Pile EFOY 210</t>
  </si>
  <si>
    <t>Pile au Gaz</t>
  </si>
  <si>
    <t>Gaz Perrini</t>
  </si>
  <si>
    <t>Groupe electrogène</t>
  </si>
  <si>
    <t>Groupe elect Bullpower</t>
  </si>
  <si>
    <t>EXEMPLE DE CALCUL D'AUTONOMIE D'UN CAMPING-CAR EN AUTARCIE</t>
  </si>
  <si>
    <t>Ne pas modifier les inscriptions sur fond grisé Les inscriptions en vert sont mes exemples; Les remplacer par les vôtres</t>
  </si>
  <si>
    <t>CONSOMMATION D'HIVER</t>
  </si>
  <si>
    <t>PRODUCTION EN HIVER</t>
  </si>
  <si>
    <t>ECONOMIES POTENTIELLES</t>
  </si>
  <si>
    <t>JOUR 0</t>
  </si>
  <si>
    <t xml:space="preserve">1°JOUR </t>
  </si>
  <si>
    <t xml:space="preserve">2°JOUR </t>
  </si>
  <si>
    <t xml:space="preserve">3°JOUR </t>
  </si>
  <si>
    <t xml:space="preserve">4°JOUR </t>
  </si>
  <si>
    <t xml:space="preserve">5°JOUR </t>
  </si>
  <si>
    <t>GROS CONSOMMATEURS</t>
  </si>
  <si>
    <t>Arrivée 12 h</t>
  </si>
  <si>
    <t>Stationnement</t>
  </si>
  <si>
    <t>Stationnement
et Route (dep 9h)</t>
  </si>
  <si>
    <t>Stationnement
et Route (dep 10h)</t>
  </si>
  <si>
    <t>(Modifiez Quantités en vert)</t>
  </si>
  <si>
    <t>Qté</t>
  </si>
  <si>
    <t>Amp/H</t>
  </si>
  <si>
    <r>
      <t xml:space="preserve">Électronique cellule </t>
    </r>
    <r>
      <rPr>
        <b/>
        <sz val="8"/>
        <color indexed="8"/>
        <rFont val="Calibri"/>
        <family val="2"/>
      </rPr>
      <t>(en H)</t>
    </r>
  </si>
  <si>
    <r>
      <t xml:space="preserve">Report Batterie </t>
    </r>
    <r>
      <rPr>
        <b/>
        <sz val="8"/>
        <color indexed="8"/>
        <rFont val="Calibri"/>
        <family val="2"/>
      </rPr>
      <t>(de la veille)</t>
    </r>
  </si>
  <si>
    <r>
      <t xml:space="preserve">Éclairage cellule halogene </t>
    </r>
    <r>
      <rPr>
        <b/>
        <sz val="8"/>
        <color indexed="8"/>
        <rFont val="Calibri"/>
        <family val="2"/>
      </rPr>
      <t>(en H)</t>
    </r>
  </si>
  <si>
    <t>Route = Batt pleines</t>
  </si>
  <si>
    <t>Led</t>
  </si>
  <si>
    <r>
      <t xml:space="preserve">TV en marche </t>
    </r>
    <r>
      <rPr>
        <b/>
        <sz val="8"/>
        <color indexed="8"/>
        <rFont val="Calibri"/>
        <family val="2"/>
      </rPr>
      <t>(en heures)</t>
    </r>
  </si>
  <si>
    <r>
      <t xml:space="preserve">Batterie AGM100 </t>
    </r>
    <r>
      <rPr>
        <b/>
        <sz val="8"/>
        <color indexed="60"/>
        <rFont val="Calibri"/>
        <family val="2"/>
      </rPr>
      <t>Amp/H utile à 85% (Nbre)</t>
    </r>
  </si>
  <si>
    <t>TV en veille</t>
  </si>
  <si>
    <r>
      <t xml:space="preserve">Décodeur en marche </t>
    </r>
    <r>
      <rPr>
        <b/>
        <sz val="8"/>
        <color indexed="8"/>
        <rFont val="Calibri"/>
        <family val="2"/>
      </rPr>
      <t>(en heures)</t>
    </r>
  </si>
  <si>
    <r>
      <t xml:space="preserve">Panneau solaire </t>
    </r>
    <r>
      <rPr>
        <b/>
        <sz val="8"/>
        <color indexed="8"/>
        <rFont val="Calibri"/>
        <family val="2"/>
      </rPr>
      <t>100 W ÉTÉ (en H)</t>
    </r>
  </si>
  <si>
    <t>Décodeur en veille</t>
  </si>
  <si>
    <r>
      <t xml:space="preserve">Antenne auto </t>
    </r>
    <r>
      <rPr>
        <b/>
        <sz val="7"/>
        <color indexed="8"/>
        <rFont val="Calibri"/>
        <family val="2"/>
      </rPr>
      <t>(1 montée et 1 descente)</t>
    </r>
  </si>
  <si>
    <r>
      <t xml:space="preserve">Panneau solaire </t>
    </r>
    <r>
      <rPr>
        <b/>
        <sz val="8"/>
        <color indexed="8"/>
        <rFont val="Calibri"/>
        <family val="2"/>
      </rPr>
      <t>100 W HIVER (en H)</t>
    </r>
  </si>
  <si>
    <r>
      <t xml:space="preserve">Chauffage (en Hiver) </t>
    </r>
    <r>
      <rPr>
        <b/>
        <sz val="8"/>
        <color indexed="8"/>
        <rFont val="Calibri"/>
        <family val="2"/>
      </rPr>
      <t>en heures</t>
    </r>
  </si>
  <si>
    <r>
      <t>Réseau</t>
    </r>
    <r>
      <rPr>
        <b/>
        <sz val="14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220 V (en H)</t>
    </r>
  </si>
  <si>
    <t>Eau chaude</t>
  </si>
  <si>
    <t>Économies</t>
  </si>
  <si>
    <t xml:space="preserve">Alternateur </t>
  </si>
  <si>
    <t>Cuisine (en 1/14°d'H)</t>
  </si>
  <si>
    <r>
      <t xml:space="preserve">Alternateur </t>
    </r>
    <r>
      <rPr>
        <b/>
        <sz val="8"/>
        <color indexed="8"/>
        <rFont val="Calibri"/>
        <family val="2"/>
      </rPr>
      <t>moteur (en H)</t>
    </r>
  </si>
  <si>
    <t>Hotte</t>
  </si>
  <si>
    <t>Éclairage cuisine</t>
  </si>
  <si>
    <r>
      <t xml:space="preserve">Gr. électrogène </t>
    </r>
    <r>
      <rPr>
        <b/>
        <sz val="8"/>
        <color indexed="8"/>
        <rFont val="Calibri"/>
        <family val="2"/>
      </rPr>
      <t>1000 W (en H)</t>
    </r>
  </si>
  <si>
    <t>Vaisselle</t>
  </si>
  <si>
    <r>
      <t xml:space="preserve">Gr. électrogène </t>
    </r>
    <r>
      <rPr>
        <b/>
        <sz val="8"/>
        <color indexed="8"/>
        <rFont val="Calibri"/>
        <family val="2"/>
      </rPr>
      <t>2000 W (en H)</t>
    </r>
  </si>
  <si>
    <r>
      <t xml:space="preserve">Douche </t>
    </r>
    <r>
      <rPr>
        <b/>
        <sz val="8"/>
        <color indexed="8"/>
        <rFont val="Calibri"/>
        <family val="2"/>
      </rPr>
      <t>(Nbre personnes)</t>
    </r>
  </si>
  <si>
    <r>
      <t xml:space="preserve">Groupe Perrini </t>
    </r>
    <r>
      <rPr>
        <b/>
        <sz val="8"/>
        <color indexed="8"/>
        <rFont val="Calibri"/>
        <family val="2"/>
      </rPr>
      <t>(en H)</t>
    </r>
  </si>
  <si>
    <r>
      <t xml:space="preserve">Prise 12 v </t>
    </r>
    <r>
      <rPr>
        <b/>
        <sz val="8"/>
        <color indexed="8"/>
        <rFont val="Calibri"/>
        <family val="2"/>
      </rPr>
      <t>(en H)</t>
    </r>
  </si>
  <si>
    <r>
      <t xml:space="preserve">Pile au gaz </t>
    </r>
    <r>
      <rPr>
        <b/>
        <sz val="8"/>
        <color indexed="8"/>
        <rFont val="Calibri"/>
        <family val="2"/>
      </rPr>
      <t>(en H)</t>
    </r>
  </si>
  <si>
    <r>
      <t xml:space="preserve">Élévateur </t>
    </r>
    <r>
      <rPr>
        <b/>
        <sz val="8"/>
        <color indexed="8"/>
        <rFont val="Calibri"/>
        <family val="2"/>
      </rPr>
      <t>12v en 220v 150w(en H)</t>
    </r>
  </si>
  <si>
    <r>
      <t xml:space="preserve">Pile Effoy 80 </t>
    </r>
    <r>
      <rPr>
        <b/>
        <sz val="8"/>
        <color indexed="8"/>
        <rFont val="Calibri"/>
        <family val="2"/>
      </rPr>
      <t>(en H)</t>
    </r>
  </si>
  <si>
    <r>
      <t xml:space="preserve">Chargeur piles </t>
    </r>
    <r>
      <rPr>
        <b/>
        <sz val="8"/>
        <color indexed="8"/>
        <rFont val="Calibri"/>
        <family val="2"/>
      </rPr>
      <t>(en H)</t>
    </r>
  </si>
  <si>
    <r>
      <t xml:space="preserve">Pile Effoy 140 </t>
    </r>
    <r>
      <rPr>
        <b/>
        <sz val="8"/>
        <color indexed="8"/>
        <rFont val="Calibri"/>
        <family val="2"/>
      </rPr>
      <t>(en H)</t>
    </r>
  </si>
  <si>
    <t>Autre</t>
  </si>
  <si>
    <r>
      <t xml:space="preserve">Pile Effoy 210 </t>
    </r>
    <r>
      <rPr>
        <b/>
        <sz val="8"/>
        <color indexed="8"/>
        <rFont val="Calibri"/>
        <family val="2"/>
      </rPr>
      <t>(en H)</t>
    </r>
  </si>
  <si>
    <t>TOTAL (en A consommés)/jour</t>
  </si>
  <si>
    <t>Energie dispo/jour</t>
  </si>
  <si>
    <t>ENERGIE RESTANTE</t>
  </si>
  <si>
    <r>
      <t xml:space="preserve">Économies </t>
    </r>
    <r>
      <rPr>
        <sz val="7"/>
        <color indexed="8"/>
        <rFont val="Calibri"/>
        <family val="2"/>
      </rPr>
      <t>(arrêt veilles TV &amp; Démo + LED  + Ant manu)</t>
    </r>
  </si>
  <si>
    <r>
      <t>Ne pas modifier les inscriptions sur fond grisé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Les inscriptions en vert sont mes exemples; Les remplacer par les vôtres</t>
    </r>
  </si>
  <si>
    <t>CONSOMMATION D'ÉTÉ</t>
  </si>
  <si>
    <t>PRODUCTION EN ÉTÉ</t>
  </si>
  <si>
    <t xml:space="preserve">6°JOUR </t>
  </si>
  <si>
    <t>Stationnement et Route</t>
  </si>
  <si>
    <t>Départ 9 h</t>
  </si>
  <si>
    <t>Arrivée 14 h</t>
  </si>
  <si>
    <t>Route</t>
  </si>
  <si>
    <r>
      <t xml:space="preserve">Electronique cellule </t>
    </r>
    <r>
      <rPr>
        <b/>
        <sz val="8"/>
        <color indexed="8"/>
        <rFont val="Calibri"/>
        <family val="2"/>
      </rPr>
      <t>(en H)</t>
    </r>
  </si>
  <si>
    <r>
      <t xml:space="preserve">Eclairage cellule </t>
    </r>
    <r>
      <rPr>
        <b/>
        <sz val="8"/>
        <color indexed="8"/>
        <rFont val="Calibri"/>
        <family val="2"/>
      </rPr>
      <t>(en H)</t>
    </r>
  </si>
  <si>
    <r>
      <t xml:space="preserve">Batterie 100 </t>
    </r>
    <r>
      <rPr>
        <b/>
        <sz val="8"/>
        <color indexed="60"/>
        <rFont val="Calibri"/>
        <family val="2"/>
      </rPr>
      <t>Amp/H usées à 90%(Nbre)</t>
    </r>
  </si>
  <si>
    <r>
      <t xml:space="preserve">Chauffage </t>
    </r>
    <r>
      <rPr>
        <b/>
        <sz val="8"/>
        <color indexed="8"/>
        <rFont val="Calibri"/>
        <family val="2"/>
      </rPr>
      <t>(en été) en heures</t>
    </r>
  </si>
  <si>
    <r>
      <t xml:space="preserve">Cuisine </t>
    </r>
    <r>
      <rPr>
        <b/>
        <sz val="8"/>
        <color indexed="8"/>
        <rFont val="Calibri"/>
        <family val="2"/>
      </rPr>
      <t>(en 1/14d'Heure)</t>
    </r>
  </si>
  <si>
    <t>Eclairage cuisine</t>
  </si>
  <si>
    <r>
      <t xml:space="preserve">Elevateur </t>
    </r>
    <r>
      <rPr>
        <b/>
        <sz val="8"/>
        <color indexed="8"/>
        <rFont val="Calibri"/>
        <family val="2"/>
      </rPr>
      <t>12v en 220v 150w(en H)</t>
    </r>
  </si>
  <si>
    <t>RESULTAT (en Ah consommés)</t>
  </si>
  <si>
    <t>Energie dispo</t>
  </si>
  <si>
    <t>Hotte (maxi)</t>
  </si>
  <si>
    <t>Eclairage cuisine Halo (2 hotte + 1 evier à 10W)</t>
  </si>
  <si>
    <t>Eclairage cuisine LED (2 hotte + 1 evier à 2W)</t>
  </si>
  <si>
    <t>Eclairage autres Halo (3 halogenes 10W)</t>
  </si>
  <si>
    <t>Eclairage autres LED (3 Leds 2W)</t>
  </si>
  <si>
    <t>Boiler (seul 20mn)</t>
  </si>
  <si>
    <t>Chauffage (seul moyenne)</t>
  </si>
  <si>
    <t>Chauffage + eau chaude (Moyenne = ½ jour)</t>
  </si>
  <si>
    <t>Chauffage + eau chaude (Moyenne = 1jour)</t>
  </si>
  <si>
    <t>Télévision (en veille)</t>
  </si>
  <si>
    <t>Décodeur (Alden Satmatic HD)</t>
  </si>
  <si>
    <t>Décodeur (en veille)</t>
  </si>
  <si>
    <t>Panneau solaire (maxi)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</si>
</sst>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;@"/>
    <numFmt numFmtId="165" formatCode="0.0000"/>
    <numFmt numFmtId="166" formatCode="0.0"/>
  </numFmts>
  <fonts count="58" x14ac:knownFonts="1"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u/>
      <sz val="11"/>
      <color indexed="12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b/>
      <sz val="16"/>
      <color indexed="4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u/>
      <sz val="8"/>
      <color indexed="12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7"/>
      <color indexed="60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sz val="7"/>
      <color indexed="53"/>
      <name val="Calibri"/>
      <family val="2"/>
    </font>
    <font>
      <b/>
      <sz val="10"/>
      <color indexed="12"/>
      <name val="Calibri"/>
      <family val="2"/>
    </font>
    <font>
      <b/>
      <sz val="8"/>
      <color indexed="17"/>
      <name val="Calibri"/>
      <family val="2"/>
    </font>
    <font>
      <sz val="11"/>
      <color indexed="60"/>
      <name val="Calibri"/>
      <family val="2"/>
    </font>
    <font>
      <sz val="11"/>
      <color indexed="57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sz val="6"/>
      <color indexed="17"/>
      <name val="Calibri"/>
      <family val="2"/>
    </font>
    <font>
      <sz val="7"/>
      <color indexed="57"/>
      <name val="Calibri"/>
      <family val="2"/>
    </font>
    <font>
      <b/>
      <sz val="11"/>
      <color indexed="60"/>
      <name val="Calibri"/>
      <family val="2"/>
    </font>
    <font>
      <b/>
      <sz val="8"/>
      <color indexed="60"/>
      <name val="Calibri"/>
      <family val="2"/>
    </font>
    <font>
      <sz val="11"/>
      <color indexed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4"/>
      <name val="Calibri"/>
      <family val="2"/>
    </font>
    <font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50"/>
      <name val="Calibri"/>
      <family val="2"/>
    </font>
    <font>
      <sz val="5"/>
      <color indexed="8"/>
      <name val="Calibri"/>
      <family val="2"/>
    </font>
    <font>
      <sz val="5"/>
      <color indexed="17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53"/>
      <name val="Calibri"/>
      <family val="2"/>
    </font>
    <font>
      <b/>
      <sz val="14"/>
      <color indexed="53"/>
      <name val="Calibri"/>
      <family val="2"/>
    </font>
    <font>
      <b/>
      <u/>
      <sz val="12"/>
      <color indexed="12"/>
      <name val="Calibri"/>
      <family val="2"/>
    </font>
    <font>
      <b/>
      <sz val="16"/>
      <color indexed="30"/>
      <name val="Calibri"/>
      <family val="2"/>
    </font>
    <font>
      <b/>
      <sz val="11"/>
      <color indexed="17"/>
      <name val="Calibri"/>
      <family val="2"/>
    </font>
    <font>
      <b/>
      <sz val="10"/>
      <color indexed="62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4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3" borderId="0" xfId="0" applyFill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166" fontId="0" fillId="5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/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4" fillId="7" borderId="0" xfId="0" applyFont="1" applyFill="1"/>
    <xf numFmtId="1" fontId="31" fillId="7" borderId="3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14" fillId="7" borderId="2" xfId="0" applyFont="1" applyFill="1" applyBorder="1" applyAlignment="1">
      <alignment horizontal="right"/>
    </xf>
    <xf numFmtId="166" fontId="31" fillId="7" borderId="3" xfId="0" applyNumberFormat="1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0" fontId="31" fillId="7" borderId="3" xfId="0" applyFon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7" borderId="0" xfId="0" applyNumberFormat="1" applyFill="1" applyAlignment="1">
      <alignment horizontal="center"/>
    </xf>
    <xf numFmtId="166" fontId="0" fillId="0" borderId="3" xfId="0" applyNumberFormat="1" applyBorder="1"/>
    <xf numFmtId="0" fontId="8" fillId="3" borderId="2" xfId="0" applyFont="1" applyFill="1" applyBorder="1" applyAlignment="1">
      <alignment horizontal="right"/>
    </xf>
    <xf numFmtId="166" fontId="0" fillId="3" borderId="3" xfId="0" applyNumberFormat="1" applyFill="1" applyBorder="1"/>
    <xf numFmtId="0" fontId="14" fillId="5" borderId="0" xfId="0" applyFont="1" applyFill="1"/>
    <xf numFmtId="1" fontId="32" fillId="0" borderId="3" xfId="0" applyNumberFormat="1" applyFont="1" applyBorder="1" applyAlignment="1">
      <alignment horizontal="center"/>
    </xf>
    <xf numFmtId="166" fontId="32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3" fillId="8" borderId="2" xfId="0" applyFont="1" applyFill="1" applyBorder="1" applyAlignment="1">
      <alignment horizontal="right"/>
    </xf>
    <xf numFmtId="0" fontId="34" fillId="7" borderId="3" xfId="0" applyFont="1" applyFill="1" applyBorder="1" applyAlignment="1">
      <alignment horizontal="center"/>
    </xf>
    <xf numFmtId="0" fontId="0" fillId="8" borderId="0" xfId="0" applyFill="1"/>
    <xf numFmtId="0" fontId="35" fillId="7" borderId="3" xfId="0" applyFont="1" applyFill="1" applyBorder="1" applyAlignment="1">
      <alignment horizontal="center"/>
    </xf>
    <xf numFmtId="166" fontId="18" fillId="7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66" fontId="18" fillId="7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 vertical="center"/>
    </xf>
    <xf numFmtId="1" fontId="36" fillId="8" borderId="3" xfId="0" applyNumberFormat="1" applyFont="1" applyFill="1" applyBorder="1" applyAlignment="1">
      <alignment horizontal="center" vertical="center"/>
    </xf>
    <xf numFmtId="166" fontId="26" fillId="8" borderId="0" xfId="0" applyNumberFormat="1" applyFont="1" applyFill="1" applyAlignment="1">
      <alignment horizontal="center" vertical="center"/>
    </xf>
    <xf numFmtId="166" fontId="36" fillId="8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34" fillId="0" borderId="3" xfId="0" applyFont="1" applyBorder="1" applyAlignment="1">
      <alignment horizontal="center"/>
    </xf>
    <xf numFmtId="0" fontId="14" fillId="6" borderId="0" xfId="0" applyFont="1" applyFill="1"/>
    <xf numFmtId="0" fontId="37" fillId="0" borderId="2" xfId="0" applyFont="1" applyBorder="1" applyAlignment="1">
      <alignment horizontal="center"/>
    </xf>
    <xf numFmtId="1" fontId="39" fillId="3" borderId="3" xfId="0" applyNumberFormat="1" applyFont="1" applyFill="1" applyBorder="1" applyAlignment="1">
      <alignment horizontal="center"/>
    </xf>
    <xf numFmtId="166" fontId="31" fillId="7" borderId="0" xfId="0" applyNumberFormat="1" applyFont="1" applyFill="1" applyAlignment="1">
      <alignment horizontal="center"/>
    </xf>
    <xf numFmtId="166" fontId="0" fillId="8" borderId="3" xfId="0" applyNumberFormat="1" applyFont="1" applyFill="1" applyBorder="1" applyAlignment="1">
      <alignment horizontal="center"/>
    </xf>
    <xf numFmtId="166" fontId="34" fillId="3" borderId="3" xfId="0" applyNumberFormat="1" applyFont="1" applyFill="1" applyBorder="1" applyAlignment="1">
      <alignment horizontal="center"/>
    </xf>
    <xf numFmtId="0" fontId="40" fillId="6" borderId="0" xfId="0" applyFont="1" applyFill="1"/>
    <xf numFmtId="166" fontId="41" fillId="7" borderId="3" xfId="0" applyNumberFormat="1" applyFont="1" applyFill="1" applyBorder="1" applyAlignment="1">
      <alignment horizontal="center"/>
    </xf>
    <xf numFmtId="1" fontId="0" fillId="7" borderId="3" xfId="0" applyNumberFormat="1" applyFont="1" applyFill="1" applyBorder="1" applyAlignment="1">
      <alignment horizontal="center"/>
    </xf>
    <xf numFmtId="166" fontId="0" fillId="7" borderId="3" xfId="0" applyNumberFormat="1" applyFont="1" applyFill="1" applyBorder="1" applyAlignment="1">
      <alignment horizontal="center"/>
    </xf>
    <xf numFmtId="166" fontId="34" fillId="7" borderId="3" xfId="0" applyNumberFormat="1" applyFont="1" applyFill="1" applyBorder="1" applyAlignment="1">
      <alignment horizontal="center"/>
    </xf>
    <xf numFmtId="1" fontId="34" fillId="7" borderId="3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41" fillId="7" borderId="3" xfId="0" applyNumberFormat="1" applyFont="1" applyFill="1" applyBorder="1" applyAlignment="1">
      <alignment horizontal="center"/>
    </xf>
    <xf numFmtId="1" fontId="41" fillId="7" borderId="0" xfId="0" applyNumberFormat="1" applyFont="1" applyFill="1" applyAlignment="1">
      <alignment horizontal="center"/>
    </xf>
    <xf numFmtId="1" fontId="41" fillId="7" borderId="1" xfId="0" applyNumberFormat="1" applyFont="1" applyFill="1" applyBorder="1" applyAlignment="1">
      <alignment horizontal="center"/>
    </xf>
    <xf numFmtId="166" fontId="41" fillId="7" borderId="0" xfId="0" applyNumberFormat="1" applyFont="1" applyFill="1" applyAlignment="1">
      <alignment horizontal="center"/>
    </xf>
    <xf numFmtId="166" fontId="41" fillId="7" borderId="1" xfId="0" applyNumberFormat="1" applyFont="1" applyFill="1" applyBorder="1" applyAlignment="1">
      <alignment horizontal="center"/>
    </xf>
    <xf numFmtId="166" fontId="0" fillId="7" borderId="3" xfId="0" applyNumberFormat="1" applyFill="1" applyBorder="1" applyAlignment="1">
      <alignment horizontal="center"/>
    </xf>
    <xf numFmtId="1" fontId="41" fillId="8" borderId="3" xfId="0" applyNumberFormat="1" applyFont="1" applyFill="1" applyBorder="1" applyAlignment="1">
      <alignment horizontal="center"/>
    </xf>
    <xf numFmtId="1" fontId="42" fillId="0" borderId="3" xfId="0" applyNumberFormat="1" applyFon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32" fillId="3" borderId="3" xfId="0" applyNumberFormat="1" applyFont="1" applyFill="1" applyBorder="1" applyAlignment="1">
      <alignment horizontal="center"/>
    </xf>
    <xf numFmtId="1" fontId="43" fillId="3" borderId="3" xfId="0" applyNumberFormat="1" applyFont="1" applyFill="1" applyBorder="1" applyAlignment="1">
      <alignment horizontal="center"/>
    </xf>
    <xf numFmtId="166" fontId="39" fillId="3" borderId="3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8" fillId="8" borderId="3" xfId="0" applyNumberFormat="1" applyFont="1" applyFill="1" applyBorder="1" applyAlignment="1">
      <alignment horizontal="center" vertical="center"/>
    </xf>
    <xf numFmtId="166" fontId="18" fillId="8" borderId="0" xfId="0" applyNumberFormat="1" applyFont="1" applyFill="1" applyAlignment="1">
      <alignment horizontal="center" vertical="center"/>
    </xf>
    <xf numFmtId="166" fontId="43" fillId="0" borderId="3" xfId="0" applyNumberFormat="1" applyFont="1" applyBorder="1"/>
    <xf numFmtId="166" fontId="39" fillId="3" borderId="3" xfId="0" applyNumberFormat="1" applyFont="1" applyFill="1" applyBorder="1"/>
    <xf numFmtId="1" fontId="0" fillId="0" borderId="1" xfId="0" applyNumberFormat="1" applyBorder="1" applyAlignment="1">
      <alignment horizontal="center"/>
    </xf>
    <xf numFmtId="0" fontId="14" fillId="0" borderId="0" xfId="0" applyFont="1"/>
    <xf numFmtId="166" fontId="44" fillId="3" borderId="3" xfId="0" applyNumberFormat="1" applyFont="1" applyFill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1" xfId="0" applyNumberFormat="1" applyFont="1" applyBorder="1" applyAlignment="1">
      <alignment horizontal="center"/>
    </xf>
    <xf numFmtId="0" fontId="26" fillId="0" borderId="3" xfId="0" applyFont="1" applyBorder="1" applyAlignment="1">
      <alignment horizontal="right" vertical="center"/>
    </xf>
    <xf numFmtId="166" fontId="0" fillId="8" borderId="3" xfId="0" applyNumberFormat="1" applyFill="1" applyBorder="1"/>
    <xf numFmtId="0" fontId="26" fillId="8" borderId="0" xfId="0" applyFont="1" applyFill="1" applyAlignment="1">
      <alignment horizontal="center"/>
    </xf>
    <xf numFmtId="0" fontId="26" fillId="8" borderId="1" xfId="0" applyFont="1" applyFill="1" applyBorder="1" applyAlignment="1">
      <alignment horizontal="center"/>
    </xf>
    <xf numFmtId="1" fontId="0" fillId="8" borderId="0" xfId="0" applyNumberFormat="1" applyFill="1"/>
    <xf numFmtId="1" fontId="45" fillId="0" borderId="3" xfId="0" applyNumberFormat="1" applyFont="1" applyFill="1" applyBorder="1" applyAlignment="1">
      <alignment horizontal="center"/>
    </xf>
    <xf numFmtId="1" fontId="34" fillId="3" borderId="3" xfId="0" applyNumberFormat="1" applyFont="1" applyFill="1" applyBorder="1" applyAlignment="1">
      <alignment horizontal="center"/>
    </xf>
    <xf numFmtId="1" fontId="0" fillId="7" borderId="3" xfId="0" applyNumberFormat="1" applyFill="1" applyBorder="1"/>
    <xf numFmtId="166" fontId="34" fillId="0" borderId="3" xfId="0" applyNumberFormat="1" applyFont="1" applyBorder="1" applyAlignment="1">
      <alignment horizontal="center"/>
    </xf>
    <xf numFmtId="166" fontId="39" fillId="0" borderId="3" xfId="0" applyNumberFormat="1" applyFont="1" applyBorder="1"/>
    <xf numFmtId="166" fontId="0" fillId="7" borderId="3" xfId="0" applyNumberFormat="1" applyFill="1" applyBorder="1"/>
    <xf numFmtId="0" fontId="0" fillId="7" borderId="0" xfId="0" applyFill="1"/>
    <xf numFmtId="1" fontId="34" fillId="0" borderId="3" xfId="0" applyNumberFormat="1" applyFont="1" applyBorder="1" applyAlignment="1">
      <alignment horizontal="center"/>
    </xf>
    <xf numFmtId="0" fontId="0" fillId="7" borderId="3" xfId="0" applyFill="1" applyBorder="1"/>
    <xf numFmtId="166" fontId="46" fillId="7" borderId="0" xfId="0" applyNumberFormat="1" applyFont="1" applyFill="1" applyAlignment="1">
      <alignment horizontal="right" vertical="center"/>
    </xf>
    <xf numFmtId="0" fontId="46" fillId="7" borderId="3" xfId="0" applyFont="1" applyFill="1" applyBorder="1" applyAlignment="1">
      <alignment horizontal="right" vertical="center"/>
    </xf>
    <xf numFmtId="0" fontId="47" fillId="7" borderId="3" xfId="0" applyFont="1" applyFill="1" applyBorder="1" applyAlignment="1">
      <alignment horizontal="right" vertical="center"/>
    </xf>
    <xf numFmtId="166" fontId="46" fillId="7" borderId="1" xfId="0" applyNumberFormat="1" applyFont="1" applyFill="1" applyBorder="1" applyAlignment="1">
      <alignment horizontal="right" vertical="center"/>
    </xf>
    <xf numFmtId="0" fontId="13" fillId="7" borderId="0" xfId="0" applyFont="1" applyFill="1" applyAlignment="1">
      <alignment horizontal="right"/>
    </xf>
    <xf numFmtId="166" fontId="17" fillId="7" borderId="0" xfId="0" applyNumberFormat="1" applyFont="1" applyFill="1" applyAlignment="1">
      <alignment horizontal="center" vertical="center"/>
    </xf>
    <xf numFmtId="0" fontId="48" fillId="7" borderId="3" xfId="0" applyFont="1" applyFill="1" applyBorder="1" applyAlignment="1">
      <alignment horizontal="center" vertical="center"/>
    </xf>
    <xf numFmtId="11" fontId="14" fillId="7" borderId="2" xfId="0" applyNumberFormat="1" applyFont="1" applyFill="1" applyBorder="1" applyAlignment="1">
      <alignment horizontal="right" vertical="center"/>
    </xf>
    <xf numFmtId="0" fontId="49" fillId="7" borderId="0" xfId="0" applyFont="1" applyFill="1" applyAlignment="1">
      <alignment horizontal="center" vertical="center"/>
    </xf>
    <xf numFmtId="166" fontId="49" fillId="7" borderId="0" xfId="0" applyNumberFormat="1" applyFont="1" applyFill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0" fillId="7" borderId="2" xfId="0" applyFont="1" applyFill="1" applyBorder="1" applyAlignment="1">
      <alignment horizontal="right"/>
    </xf>
    <xf numFmtId="0" fontId="52" fillId="3" borderId="0" xfId="1" applyNumberFormat="1" applyFont="1" applyFill="1" applyBorder="1" applyAlignment="1" applyProtection="1">
      <alignment horizontal="center" vertical="center"/>
    </xf>
    <xf numFmtId="0" fontId="0" fillId="5" borderId="0" xfId="0" applyFont="1" applyFill="1"/>
    <xf numFmtId="166" fontId="12" fillId="5" borderId="0" xfId="0" applyNumberFormat="1" applyFont="1" applyFill="1" applyAlignment="1">
      <alignment horizontal="center"/>
    </xf>
    <xf numFmtId="1" fontId="53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0" fillId="0" borderId="0" xfId="0" applyNumberFormat="1"/>
    <xf numFmtId="0" fontId="0" fillId="8" borderId="2" xfId="0" applyFill="1" applyBorder="1"/>
    <xf numFmtId="1" fontId="32" fillId="0" borderId="3" xfId="0" applyNumberFormat="1" applyFont="1" applyFill="1" applyBorder="1" applyAlignment="1">
      <alignment horizontal="center"/>
    </xf>
    <xf numFmtId="166" fontId="41" fillId="8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166" fontId="0" fillId="8" borderId="3" xfId="0" applyNumberFormat="1" applyFill="1" applyBorder="1" applyAlignment="1">
      <alignment horizontal="center"/>
    </xf>
    <xf numFmtId="1" fontId="34" fillId="0" borderId="3" xfId="0" applyNumberFormat="1" applyFont="1" applyFill="1" applyBorder="1"/>
    <xf numFmtId="0" fontId="41" fillId="7" borderId="3" xfId="0" applyFont="1" applyFill="1" applyBorder="1"/>
    <xf numFmtId="0" fontId="41" fillId="7" borderId="1" xfId="0" applyFont="1" applyFill="1" applyBorder="1" applyAlignment="1">
      <alignment horizontal="center"/>
    </xf>
    <xf numFmtId="0" fontId="0" fillId="3" borderId="3" xfId="0" applyFill="1" applyBorder="1"/>
    <xf numFmtId="0" fontId="7" fillId="0" borderId="0" xfId="0" applyFont="1" applyAlignment="1">
      <alignment horizontal="center" vertical="center"/>
    </xf>
    <xf numFmtId="1" fontId="0" fillId="0" borderId="0" xfId="0" applyNumberFormat="1"/>
    <xf numFmtId="0" fontId="32" fillId="3" borderId="3" xfId="0" applyFont="1" applyFill="1" applyBorder="1" applyAlignment="1">
      <alignment horizontal="center"/>
    </xf>
    <xf numFmtId="166" fontId="17" fillId="7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/>
    </xf>
    <xf numFmtId="0" fontId="26" fillId="8" borderId="0" xfId="0" applyFont="1" applyFill="1" applyBorder="1" applyAlignment="1">
      <alignment horizontal="center" vertical="center"/>
    </xf>
    <xf numFmtId="166" fontId="51" fillId="7" borderId="2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5" fillId="0" borderId="1" xfId="0" applyNumberFormat="1" applyFont="1" applyBorder="1" applyAlignment="1">
      <alignment horizontal="center"/>
    </xf>
    <xf numFmtId="0" fontId="49" fillId="3" borderId="0" xfId="0" applyFont="1" applyFill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0" fontId="56" fillId="0" borderId="0" xfId="0" applyFont="1"/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66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6666FF"/>
      <rgbColor rgb="0066FF66"/>
      <rgbColor rgb="0066CC00"/>
      <rgbColor rgb="00FFCC00"/>
      <rgbColor rgb="00CC9900"/>
      <rgbColor rgb="00FF3333"/>
      <rgbColor rgb="00666699"/>
      <rgbColor rgb="00969696"/>
      <rgbColor rgb="00003366"/>
      <rgbColor rgb="0000CC00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90" zoomScaleNormal="90" workbookViewId="0">
      <selection activeCell="B3" sqref="B3"/>
    </sheetView>
  </sheetViews>
  <sheetFormatPr baseColWidth="10" defaultRowHeight="15" x14ac:dyDescent="0.25"/>
  <cols>
    <col min="1" max="1" width="70.7109375" customWidth="1"/>
    <col min="2" max="2" width="8.7109375" customWidth="1"/>
    <col min="3" max="3" width="13.7109375" customWidth="1"/>
    <col min="4" max="4" width="5.140625" customWidth="1"/>
  </cols>
  <sheetData>
    <row r="1" spans="1:4" ht="26.25" x14ac:dyDescent="0.4">
      <c r="A1" s="164" t="s">
        <v>0</v>
      </c>
      <c r="B1" s="164"/>
      <c r="C1" s="164"/>
      <c r="D1" s="164"/>
    </row>
    <row r="2" spans="1:4" ht="7.5" customHeight="1" x14ac:dyDescent="0.25"/>
    <row r="3" spans="1:4" ht="21" x14ac:dyDescent="0.35">
      <c r="A3" s="1" t="s">
        <v>1</v>
      </c>
      <c r="B3" s="2" t="s">
        <v>2</v>
      </c>
      <c r="C3" s="3" t="s">
        <v>3</v>
      </c>
    </row>
    <row r="4" spans="1:4" ht="7.5" customHeight="1" x14ac:dyDescent="0.25"/>
    <row r="5" spans="1:4" ht="21" x14ac:dyDescent="0.35">
      <c r="A5" s="1" t="s">
        <v>4</v>
      </c>
      <c r="B5" s="2" t="s">
        <v>2</v>
      </c>
      <c r="C5" s="3" t="s">
        <v>3</v>
      </c>
    </row>
    <row r="6" spans="1:4" ht="7.5" customHeight="1" x14ac:dyDescent="0.25"/>
    <row r="7" spans="1:4" ht="21" x14ac:dyDescent="0.35">
      <c r="A7" s="165" t="s">
        <v>5</v>
      </c>
      <c r="B7" s="165"/>
      <c r="C7" s="165"/>
    </row>
    <row r="8" spans="1:4" ht="7.5" customHeight="1" x14ac:dyDescent="0.25"/>
    <row r="9" spans="1:4" ht="21.75" customHeight="1" x14ac:dyDescent="0.35">
      <c r="A9" s="1" t="s">
        <v>6</v>
      </c>
      <c r="B9" s="2" t="s">
        <v>2</v>
      </c>
      <c r="C9" s="3" t="s">
        <v>7</v>
      </c>
    </row>
    <row r="10" spans="1:4" ht="7.5" customHeight="1" x14ac:dyDescent="0.25"/>
    <row r="11" spans="1:4" ht="21.75" customHeight="1" x14ac:dyDescent="0.35">
      <c r="A11" s="1" t="s">
        <v>8</v>
      </c>
      <c r="B11" s="2" t="s">
        <v>2</v>
      </c>
      <c r="C11" s="3" t="s">
        <v>7</v>
      </c>
    </row>
    <row r="12" spans="1:4" ht="7.5" customHeight="1" x14ac:dyDescent="0.25"/>
    <row r="13" spans="1:4" x14ac:dyDescent="0.25">
      <c r="B13" s="4" t="s">
        <v>9</v>
      </c>
      <c r="C13" s="5" t="s">
        <v>10</v>
      </c>
      <c r="D13" s="6" t="s">
        <v>11</v>
      </c>
    </row>
  </sheetData>
  <sheetProtection selectLockedCells="1" selectUnlockedCells="1"/>
  <mergeCells count="2">
    <mergeCell ref="A1:D1"/>
    <mergeCell ref="A7:C7"/>
  </mergeCells>
  <hyperlinks>
    <hyperlink ref="B3" location="CONSOMMATEURS!A1" display="CLIC"/>
    <hyperlink ref="B5" location="PRODUCTEURS!A1" display="CLIC"/>
    <hyperlink ref="B9" location="AUTONOMIE HIVER!A1" display="CLIC"/>
    <hyperlink ref="B11" location="AUTONOMIE ETE!A1" display="CLIC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zoomScale="90" zoomScaleNormal="90" workbookViewId="0">
      <pane ySplit="4" topLeftCell="A5" activePane="bottomLeft" state="frozen"/>
      <selection pane="bottomLeft" activeCell="J16" sqref="J16"/>
    </sheetView>
  </sheetViews>
  <sheetFormatPr baseColWidth="10" defaultRowHeight="15" x14ac:dyDescent="0.25"/>
  <cols>
    <col min="1" max="2" width="12.7109375" customWidth="1"/>
    <col min="3" max="3" width="57.42578125" customWidth="1"/>
    <col min="4" max="5" width="12.7109375" customWidth="1"/>
    <col min="6" max="6" width="2.140625" customWidth="1"/>
  </cols>
  <sheetData>
    <row r="1" spans="1:5" ht="18.75" x14ac:dyDescent="0.3">
      <c r="A1" s="166" t="s">
        <v>12</v>
      </c>
      <c r="B1" s="166"/>
      <c r="C1" s="166"/>
      <c r="D1" s="166"/>
      <c r="E1" s="166"/>
    </row>
    <row r="2" spans="1:5" ht="4.5" customHeight="1" x14ac:dyDescent="0.25">
      <c r="A2" s="7"/>
      <c r="B2" s="7"/>
      <c r="C2" s="7"/>
      <c r="D2" s="7"/>
      <c r="E2" s="7"/>
    </row>
    <row r="3" spans="1:5" ht="18.75" x14ac:dyDescent="0.3">
      <c r="A3" s="167" t="s">
        <v>13</v>
      </c>
      <c r="B3" s="167"/>
      <c r="C3" s="8" t="s">
        <v>14</v>
      </c>
      <c r="D3" s="168" t="s">
        <v>15</v>
      </c>
      <c r="E3" s="168"/>
    </row>
    <row r="4" spans="1:5" ht="21" customHeight="1" x14ac:dyDescent="0.25">
      <c r="A4" s="9" t="s">
        <v>16</v>
      </c>
      <c r="B4" s="10" t="s">
        <v>17</v>
      </c>
      <c r="C4" s="11" t="s">
        <v>18</v>
      </c>
      <c r="D4" s="10" t="s">
        <v>17</v>
      </c>
      <c r="E4" s="9" t="s">
        <v>16</v>
      </c>
    </row>
    <row r="5" spans="1:5" s="13" customFormat="1" ht="4.5" customHeight="1" x14ac:dyDescent="0.25">
      <c r="A5" s="12"/>
      <c r="B5" s="12"/>
      <c r="C5" s="12"/>
      <c r="D5" s="12"/>
      <c r="E5" s="12"/>
    </row>
    <row r="6" spans="1:5" ht="18.75" x14ac:dyDescent="0.3">
      <c r="A6" s="14">
        <f t="shared" ref="A6:A15" si="0">B6/12</f>
        <v>8.3333333333333339E-4</v>
      </c>
      <c r="B6" s="15">
        <v>0.01</v>
      </c>
      <c r="C6" s="33" t="s">
        <v>19</v>
      </c>
      <c r="D6" s="15">
        <f>B6</f>
        <v>0.01</v>
      </c>
      <c r="E6" s="14">
        <f t="shared" ref="E6:E14" si="1">D6/12</f>
        <v>8.3333333333333339E-4</v>
      </c>
    </row>
    <row r="7" spans="1:5" ht="18.75" x14ac:dyDescent="0.3">
      <c r="A7" s="16">
        <f t="shared" si="0"/>
        <v>0.5</v>
      </c>
      <c r="B7" s="17">
        <v>6</v>
      </c>
      <c r="C7" s="33" t="s">
        <v>20</v>
      </c>
      <c r="D7" s="17">
        <v>6</v>
      </c>
      <c r="E7" s="16">
        <f t="shared" si="1"/>
        <v>0.5</v>
      </c>
    </row>
    <row r="8" spans="1:5" ht="18.75" x14ac:dyDescent="0.3">
      <c r="A8" s="16">
        <f t="shared" si="0"/>
        <v>2.5</v>
      </c>
      <c r="B8" s="17">
        <v>30</v>
      </c>
      <c r="C8" s="33" t="s">
        <v>117</v>
      </c>
      <c r="D8" s="17">
        <f>B8</f>
        <v>30</v>
      </c>
      <c r="E8" s="16">
        <f t="shared" si="1"/>
        <v>2.5</v>
      </c>
    </row>
    <row r="9" spans="1:5" ht="18.75" x14ac:dyDescent="0.3">
      <c r="A9" s="17">
        <f t="shared" si="0"/>
        <v>2.5</v>
      </c>
      <c r="B9" s="17">
        <f>3*10</f>
        <v>30</v>
      </c>
      <c r="C9" s="33" t="s">
        <v>118</v>
      </c>
      <c r="D9" s="17">
        <f>3*10</f>
        <v>30</v>
      </c>
      <c r="E9" s="16">
        <f t="shared" si="1"/>
        <v>2.5</v>
      </c>
    </row>
    <row r="10" spans="1:5" ht="18.75" x14ac:dyDescent="0.3">
      <c r="A10" s="17">
        <f t="shared" si="0"/>
        <v>0.5</v>
      </c>
      <c r="B10" s="17">
        <f>3*2</f>
        <v>6</v>
      </c>
      <c r="C10" s="33" t="s">
        <v>119</v>
      </c>
      <c r="D10" s="17">
        <f>3*2</f>
        <v>6</v>
      </c>
      <c r="E10" s="16">
        <f t="shared" si="1"/>
        <v>0.5</v>
      </c>
    </row>
    <row r="11" spans="1:5" ht="18.75" x14ac:dyDescent="0.3">
      <c r="A11" s="16">
        <f t="shared" si="0"/>
        <v>2.5</v>
      </c>
      <c r="B11" s="17">
        <f>3*10</f>
        <v>30</v>
      </c>
      <c r="C11" s="33" t="s">
        <v>120</v>
      </c>
      <c r="D11" s="17">
        <f>3*10</f>
        <v>30</v>
      </c>
      <c r="E11" s="16">
        <f t="shared" si="1"/>
        <v>2.5</v>
      </c>
    </row>
    <row r="12" spans="1:5" ht="18.75" x14ac:dyDescent="0.3">
      <c r="A12" s="16">
        <f t="shared" si="0"/>
        <v>0.5</v>
      </c>
      <c r="B12" s="17">
        <f>3*2</f>
        <v>6</v>
      </c>
      <c r="C12" s="33" t="s">
        <v>121</v>
      </c>
      <c r="D12" s="17">
        <f>3*2</f>
        <v>6</v>
      </c>
      <c r="E12" s="16">
        <f t="shared" si="1"/>
        <v>0.5</v>
      </c>
    </row>
    <row r="13" spans="1:5" ht="18.75" x14ac:dyDescent="0.3">
      <c r="A13" s="17">
        <f t="shared" si="0"/>
        <v>1.7166666666666668</v>
      </c>
      <c r="B13" s="17">
        <v>20.6</v>
      </c>
      <c r="C13" s="33" t="s">
        <v>21</v>
      </c>
      <c r="D13" s="17">
        <f>B13</f>
        <v>20.6</v>
      </c>
      <c r="E13" s="17">
        <f t="shared" si="1"/>
        <v>1.7166666666666668</v>
      </c>
    </row>
    <row r="14" spans="1:5" ht="18.75" x14ac:dyDescent="0.3">
      <c r="A14" s="16">
        <f t="shared" si="0"/>
        <v>0.39999999999999997</v>
      </c>
      <c r="B14" s="17">
        <v>4.8</v>
      </c>
      <c r="C14" s="33" t="s">
        <v>122</v>
      </c>
      <c r="D14" s="17">
        <f>B14</f>
        <v>4.8</v>
      </c>
      <c r="E14" s="16">
        <f t="shared" si="1"/>
        <v>0.39999999999999997</v>
      </c>
    </row>
    <row r="15" spans="1:5" ht="18.75" x14ac:dyDescent="0.3">
      <c r="A15" s="17">
        <f t="shared" si="0"/>
        <v>5</v>
      </c>
      <c r="B15" s="17">
        <v>60</v>
      </c>
      <c r="C15" s="33" t="s">
        <v>123</v>
      </c>
      <c r="D15" s="17" t="s">
        <v>22</v>
      </c>
      <c r="E15" s="17">
        <v>0</v>
      </c>
    </row>
    <row r="16" spans="1:5" ht="18.75" x14ac:dyDescent="0.3">
      <c r="A16" s="17">
        <v>0</v>
      </c>
      <c r="B16" s="17" t="s">
        <v>22</v>
      </c>
      <c r="C16" s="33" t="s">
        <v>124</v>
      </c>
      <c r="D16" s="17">
        <v>219</v>
      </c>
      <c r="E16" s="17">
        <f t="shared" ref="E16:E24" si="2">D16/12</f>
        <v>18.25</v>
      </c>
    </row>
    <row r="17" spans="1:5" ht="18.75" x14ac:dyDescent="0.3">
      <c r="A17" s="17">
        <v>0</v>
      </c>
      <c r="B17" s="17" t="s">
        <v>22</v>
      </c>
      <c r="C17" s="33" t="s">
        <v>125</v>
      </c>
      <c r="D17" s="17">
        <v>425</v>
      </c>
      <c r="E17" s="17">
        <f t="shared" si="2"/>
        <v>35.416666666666664</v>
      </c>
    </row>
    <row r="18" spans="1:5" ht="18.75" x14ac:dyDescent="0.3">
      <c r="A18" s="17">
        <f t="shared" ref="A18:A24" si="3">B18/12</f>
        <v>2</v>
      </c>
      <c r="B18" s="17">
        <v>24</v>
      </c>
      <c r="C18" s="33" t="s">
        <v>23</v>
      </c>
      <c r="D18" s="17">
        <v>24</v>
      </c>
      <c r="E18" s="17">
        <f t="shared" si="2"/>
        <v>2</v>
      </c>
    </row>
    <row r="19" spans="1:5" ht="18.75" x14ac:dyDescent="0.3">
      <c r="A19" s="17">
        <f t="shared" si="3"/>
        <v>5</v>
      </c>
      <c r="B19" s="17">
        <v>60</v>
      </c>
      <c r="C19" s="33" t="s">
        <v>24</v>
      </c>
      <c r="D19" s="17">
        <v>60</v>
      </c>
      <c r="E19" s="17">
        <f t="shared" si="2"/>
        <v>5</v>
      </c>
    </row>
    <row r="20" spans="1:5" ht="18.75" x14ac:dyDescent="0.3">
      <c r="A20" s="17">
        <f t="shared" si="3"/>
        <v>8.3333333333333329E-2</v>
      </c>
      <c r="B20" s="17">
        <v>1</v>
      </c>
      <c r="C20" s="33" t="s">
        <v>126</v>
      </c>
      <c r="D20" s="17">
        <v>1</v>
      </c>
      <c r="E20" s="17">
        <f t="shared" si="2"/>
        <v>8.3333333333333329E-2</v>
      </c>
    </row>
    <row r="21" spans="1:5" ht="18.75" x14ac:dyDescent="0.3">
      <c r="A21" s="17">
        <f t="shared" si="3"/>
        <v>0.83333333333333337</v>
      </c>
      <c r="B21" s="17">
        <v>10</v>
      </c>
      <c r="C21" s="33" t="s">
        <v>127</v>
      </c>
      <c r="D21" s="17">
        <v>10</v>
      </c>
      <c r="E21" s="17">
        <f t="shared" si="2"/>
        <v>0.83333333333333337</v>
      </c>
    </row>
    <row r="22" spans="1:5" ht="18.75" x14ac:dyDescent="0.3">
      <c r="A22" s="17">
        <f t="shared" si="3"/>
        <v>8.3333333333333329E-2</v>
      </c>
      <c r="B22" s="17">
        <v>1</v>
      </c>
      <c r="C22" s="33" t="s">
        <v>128</v>
      </c>
      <c r="D22" s="17">
        <v>1</v>
      </c>
      <c r="E22" s="17">
        <f t="shared" si="2"/>
        <v>8.3333333333333329E-2</v>
      </c>
    </row>
    <row r="23" spans="1:5" ht="18.75" x14ac:dyDescent="0.3">
      <c r="A23" s="16">
        <f t="shared" si="3"/>
        <v>5</v>
      </c>
      <c r="B23" s="17">
        <v>60</v>
      </c>
      <c r="C23" s="33" t="s">
        <v>25</v>
      </c>
      <c r="D23" s="17">
        <v>60</v>
      </c>
      <c r="E23" s="16">
        <f t="shared" si="2"/>
        <v>5</v>
      </c>
    </row>
    <row r="24" spans="1:5" ht="18.75" x14ac:dyDescent="0.3">
      <c r="A24" s="16">
        <f t="shared" si="3"/>
        <v>0</v>
      </c>
      <c r="B24" s="16">
        <v>0</v>
      </c>
      <c r="C24" s="33" t="s">
        <v>26</v>
      </c>
      <c r="D24" s="16">
        <v>0</v>
      </c>
      <c r="E24" s="16">
        <f t="shared" si="2"/>
        <v>0</v>
      </c>
    </row>
    <row r="25" spans="1:5" s="13" customFormat="1" ht="4.5" customHeight="1" x14ac:dyDescent="0.25"/>
  </sheetData>
  <sheetProtection selectLockedCells="1" selectUnlockedCells="1"/>
  <mergeCells count="3">
    <mergeCell ref="A1:E1"/>
    <mergeCell ref="A3:B3"/>
    <mergeCell ref="D3:E3"/>
  </mergeCells>
  <hyperlinks>
    <hyperlink ref="C3" location="ACCUEIL!A1" display="RETOUR PAGE ACCUEIL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pane ySplit="4" topLeftCell="A5" activePane="bottomLeft" state="frozen"/>
      <selection pane="bottomLeft" activeCell="G25" sqref="G25"/>
    </sheetView>
  </sheetViews>
  <sheetFormatPr baseColWidth="10" defaultRowHeight="15" x14ac:dyDescent="0.25"/>
  <cols>
    <col min="3" max="3" width="34.140625" customWidth="1"/>
    <col min="6" max="6" width="3.5703125" customWidth="1"/>
  </cols>
  <sheetData>
    <row r="1" spans="1:9" ht="15.75" x14ac:dyDescent="0.25">
      <c r="A1" s="169" t="s">
        <v>27</v>
      </c>
      <c r="B1" s="169"/>
      <c r="C1" s="169"/>
      <c r="D1" s="169"/>
      <c r="E1" s="169"/>
    </row>
    <row r="2" spans="1:9" ht="4.5" customHeight="1" x14ac:dyDescent="0.25">
      <c r="A2" s="18"/>
      <c r="B2" s="18"/>
      <c r="C2" s="18"/>
      <c r="D2" s="18"/>
      <c r="E2" s="18"/>
    </row>
    <row r="3" spans="1:9" ht="15" customHeight="1" x14ac:dyDescent="0.3">
      <c r="A3" s="170" t="s">
        <v>13</v>
      </c>
      <c r="B3" s="170"/>
      <c r="C3" s="8" t="s">
        <v>14</v>
      </c>
      <c r="D3" s="171" t="s">
        <v>15</v>
      </c>
      <c r="E3" s="171"/>
      <c r="G3" s="19"/>
      <c r="H3" s="19"/>
      <c r="I3" s="19"/>
    </row>
    <row r="4" spans="1:9" ht="21" customHeight="1" x14ac:dyDescent="0.25">
      <c r="A4" s="9" t="s">
        <v>16</v>
      </c>
      <c r="B4" s="10" t="s">
        <v>17</v>
      </c>
      <c r="C4" s="11" t="s">
        <v>28</v>
      </c>
      <c r="D4" s="10" t="s">
        <v>17</v>
      </c>
      <c r="E4" s="9" t="s">
        <v>16</v>
      </c>
    </row>
    <row r="5" spans="1:9" s="13" customFormat="1" ht="4.5" customHeight="1" x14ac:dyDescent="0.25">
      <c r="A5" s="12"/>
      <c r="B5" s="20"/>
      <c r="D5" s="20"/>
      <c r="E5" s="12"/>
    </row>
    <row r="6" spans="1:9" s="24" customFormat="1" ht="15" customHeight="1" x14ac:dyDescent="0.3">
      <c r="A6" s="21">
        <f>E6</f>
        <v>68</v>
      </c>
      <c r="B6" s="194" t="s">
        <v>29</v>
      </c>
      <c r="C6" s="189" t="s">
        <v>30</v>
      </c>
      <c r="D6" s="193" t="s">
        <v>29</v>
      </c>
      <c r="E6" s="23">
        <f>80*85/100</f>
        <v>68</v>
      </c>
    </row>
    <row r="7" spans="1:9" s="24" customFormat="1" ht="15" customHeight="1" x14ac:dyDescent="0.3">
      <c r="A7" s="21">
        <f>E7</f>
        <v>85</v>
      </c>
      <c r="B7" s="194" t="s">
        <v>29</v>
      </c>
      <c r="C7" s="189" t="s">
        <v>31</v>
      </c>
      <c r="D7" s="193" t="s">
        <v>29</v>
      </c>
      <c r="E7" s="23">
        <f>100*85/100</f>
        <v>85</v>
      </c>
    </row>
    <row r="8" spans="1:9" ht="6" customHeight="1" x14ac:dyDescent="0.3">
      <c r="C8" s="190"/>
    </row>
    <row r="9" spans="1:9" ht="18.75" x14ac:dyDescent="0.3">
      <c r="A9" s="16">
        <f>E9</f>
        <v>10</v>
      </c>
      <c r="C9" s="191" t="s">
        <v>32</v>
      </c>
      <c r="E9" s="16">
        <v>10</v>
      </c>
    </row>
    <row r="10" spans="1:9" ht="6" customHeight="1" x14ac:dyDescent="0.3">
      <c r="C10" s="190"/>
    </row>
    <row r="11" spans="1:9" ht="18.75" x14ac:dyDescent="0.3">
      <c r="A11" s="16">
        <f>E11</f>
        <v>50</v>
      </c>
      <c r="B11" s="25" t="s">
        <v>33</v>
      </c>
      <c r="C11" s="191" t="s">
        <v>34</v>
      </c>
      <c r="D11" s="25" t="s">
        <v>33</v>
      </c>
      <c r="E11" s="26">
        <v>50</v>
      </c>
    </row>
    <row r="12" spans="1:9" ht="4.5" customHeight="1" x14ac:dyDescent="0.3">
      <c r="C12" s="190"/>
    </row>
    <row r="13" spans="1:9" ht="18.75" x14ac:dyDescent="0.3">
      <c r="A13" s="17">
        <f>(B13/12)*80/100</f>
        <v>5</v>
      </c>
      <c r="B13" s="16">
        <f>D13</f>
        <v>75</v>
      </c>
      <c r="C13" s="191" t="s">
        <v>129</v>
      </c>
      <c r="D13" s="16">
        <v>75</v>
      </c>
      <c r="E13" s="17">
        <f>(D13/12)*30/100</f>
        <v>1.875</v>
      </c>
    </row>
    <row r="14" spans="1:9" ht="18.75" x14ac:dyDescent="0.3">
      <c r="A14" s="17">
        <f>(B14/12)*80/100</f>
        <v>6.6666666666666679</v>
      </c>
      <c r="B14" s="16">
        <f>D14</f>
        <v>100</v>
      </c>
      <c r="C14" s="191" t="s">
        <v>129</v>
      </c>
      <c r="D14" s="16">
        <v>100</v>
      </c>
      <c r="E14" s="17">
        <f>(D14/12)*30/100</f>
        <v>2.5000000000000004</v>
      </c>
    </row>
    <row r="15" spans="1:9" ht="18.75" x14ac:dyDescent="0.3">
      <c r="A15" s="17">
        <f>(B15/12)*80/100</f>
        <v>10</v>
      </c>
      <c r="B15" s="16">
        <f>D15</f>
        <v>150</v>
      </c>
      <c r="C15" s="191" t="s">
        <v>129</v>
      </c>
      <c r="D15" s="16">
        <v>150</v>
      </c>
      <c r="E15" s="17">
        <f>(D15/12)*30/100</f>
        <v>3.75</v>
      </c>
    </row>
    <row r="16" spans="1:9" ht="6" customHeight="1" x14ac:dyDescent="0.3">
      <c r="C16" s="190"/>
    </row>
    <row r="17" spans="1:5" ht="18.75" x14ac:dyDescent="0.3">
      <c r="A17" s="17">
        <f>E17</f>
        <v>3.3</v>
      </c>
      <c r="B17" s="16">
        <v>40</v>
      </c>
      <c r="C17" s="191" t="s">
        <v>35</v>
      </c>
      <c r="D17" s="16">
        <v>40</v>
      </c>
      <c r="E17" s="16">
        <v>3.3</v>
      </c>
    </row>
    <row r="18" spans="1:5" ht="18.75" x14ac:dyDescent="0.3">
      <c r="A18" s="17">
        <f>E18</f>
        <v>6</v>
      </c>
      <c r="B18" s="16">
        <v>72</v>
      </c>
      <c r="C18" s="191" t="s">
        <v>36</v>
      </c>
      <c r="D18" s="16">
        <v>72</v>
      </c>
      <c r="E18" s="17">
        <v>6</v>
      </c>
    </row>
    <row r="19" spans="1:5" ht="18.75" x14ac:dyDescent="0.3">
      <c r="A19" s="16">
        <f>E19</f>
        <v>8.8000000000000007</v>
      </c>
      <c r="B19" s="16">
        <v>105</v>
      </c>
      <c r="C19" s="191" t="s">
        <v>37</v>
      </c>
      <c r="D19" s="16">
        <v>105</v>
      </c>
      <c r="E19" s="16">
        <v>8.8000000000000007</v>
      </c>
    </row>
    <row r="20" spans="1:5" ht="6" customHeight="1" x14ac:dyDescent="0.3">
      <c r="B20" s="16"/>
      <c r="C20" s="190"/>
    </row>
    <row r="21" spans="1:5" ht="18.75" x14ac:dyDescent="0.3">
      <c r="A21" s="16">
        <f>E21</f>
        <v>20</v>
      </c>
      <c r="B21" s="16"/>
      <c r="C21" s="191" t="s">
        <v>38</v>
      </c>
      <c r="E21" s="16">
        <v>20</v>
      </c>
    </row>
    <row r="22" spans="1:5" ht="6" customHeight="1" x14ac:dyDescent="0.3">
      <c r="B22" s="16"/>
      <c r="C22" s="190"/>
    </row>
    <row r="23" spans="1:5" ht="18.75" x14ac:dyDescent="0.3">
      <c r="A23" s="16">
        <f>E23</f>
        <v>20</v>
      </c>
      <c r="C23" s="191" t="s">
        <v>39</v>
      </c>
      <c r="E23" s="16">
        <v>20</v>
      </c>
    </row>
    <row r="24" spans="1:5" ht="6" customHeight="1" x14ac:dyDescent="0.3">
      <c r="C24" s="190"/>
    </row>
    <row r="25" spans="1:5" ht="18.75" x14ac:dyDescent="0.3">
      <c r="A25" s="17">
        <f>E25</f>
        <v>3.8636363636363638</v>
      </c>
      <c r="B25" s="16">
        <f>D25</f>
        <v>1000</v>
      </c>
      <c r="C25" s="190" t="s">
        <v>40</v>
      </c>
      <c r="D25" s="16">
        <v>1000</v>
      </c>
      <c r="E25" s="17">
        <f>(D25*85/100)/220</f>
        <v>3.8636363636363638</v>
      </c>
    </row>
    <row r="26" spans="1:5" ht="18.75" x14ac:dyDescent="0.3">
      <c r="A26" s="17">
        <f>E26</f>
        <v>7.2727272727272725</v>
      </c>
      <c r="B26" s="16">
        <f>D26</f>
        <v>2000</v>
      </c>
      <c r="C26" s="190" t="s">
        <v>40</v>
      </c>
      <c r="D26" s="16">
        <v>2000</v>
      </c>
      <c r="E26" s="17">
        <f>(D26*80/100)/220</f>
        <v>7.2727272727272725</v>
      </c>
    </row>
    <row r="27" spans="1:5" ht="6" customHeight="1" x14ac:dyDescent="0.3">
      <c r="C27" s="190"/>
    </row>
    <row r="28" spans="1:5" ht="18.75" x14ac:dyDescent="0.3">
      <c r="A28" s="27">
        <f>E28</f>
        <v>45</v>
      </c>
      <c r="C28" s="192" t="s">
        <v>41</v>
      </c>
      <c r="D28" s="28"/>
      <c r="E28" s="27">
        <v>45</v>
      </c>
    </row>
    <row r="29" spans="1:5" s="13" customFormat="1" ht="4.5" customHeight="1" x14ac:dyDescent="0.25"/>
  </sheetData>
  <sheetProtection selectLockedCells="1" selectUnlockedCells="1"/>
  <mergeCells count="3">
    <mergeCell ref="A1:E1"/>
    <mergeCell ref="A3:B3"/>
    <mergeCell ref="D3:E3"/>
  </mergeCells>
  <hyperlinks>
    <hyperlink ref="C3" location="ACCUEIL!A1" display="RETOUR PAGE ACCUEIL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zoomScale="90" zoomScaleNormal="90" workbookViewId="0">
      <selection activeCell="V6" sqref="V6:W8"/>
    </sheetView>
  </sheetViews>
  <sheetFormatPr baseColWidth="10" defaultColWidth="11.5703125" defaultRowHeight="15" x14ac:dyDescent="0.25"/>
  <cols>
    <col min="1" max="1" width="33.42578125" customWidth="1"/>
    <col min="2" max="2" width="5.140625" customWidth="1"/>
    <col min="3" max="3" width="6.710937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1" customWidth="1"/>
    <col min="15" max="15" width="39.14062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1" customWidth="1"/>
    <col min="29" max="254" width="11.42578125" customWidth="1"/>
  </cols>
  <sheetData>
    <row r="1" spans="1:28" ht="18.75" customHeight="1" x14ac:dyDescent="0.25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8" ht="15" customHeight="1" x14ac:dyDescent="0.25">
      <c r="A2" s="173" t="s">
        <v>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8" ht="15" customHeight="1" x14ac:dyDescent="0.25">
      <c r="A3" s="174" t="s">
        <v>44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30"/>
      <c r="O3" s="175" t="s">
        <v>45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8" ht="15" customHeight="1" x14ac:dyDescent="0.25">
      <c r="A4" s="31" t="s">
        <v>46</v>
      </c>
      <c r="B4" s="176" t="s">
        <v>47</v>
      </c>
      <c r="C4" s="176"/>
      <c r="D4" s="176" t="s">
        <v>48</v>
      </c>
      <c r="E4" s="176"/>
      <c r="F4" s="176" t="s">
        <v>49</v>
      </c>
      <c r="G4" s="176"/>
      <c r="H4" s="176" t="s">
        <v>50</v>
      </c>
      <c r="I4" s="176"/>
      <c r="J4" s="176" t="s">
        <v>51</v>
      </c>
      <c r="K4" s="176"/>
      <c r="L4" s="176" t="s">
        <v>52</v>
      </c>
      <c r="M4" s="176"/>
      <c r="N4" s="30"/>
      <c r="O4" s="29"/>
      <c r="P4" s="176" t="s">
        <v>47</v>
      </c>
      <c r="Q4" s="176"/>
      <c r="R4" s="176" t="s">
        <v>48</v>
      </c>
      <c r="S4" s="176"/>
      <c r="T4" s="176" t="s">
        <v>49</v>
      </c>
      <c r="U4" s="176"/>
      <c r="V4" s="176" t="s">
        <v>50</v>
      </c>
      <c r="W4" s="176"/>
      <c r="X4" s="176" t="s">
        <v>51</v>
      </c>
      <c r="Y4" s="176"/>
      <c r="Z4" s="176" t="s">
        <v>52</v>
      </c>
      <c r="AA4" s="176"/>
    </row>
    <row r="5" spans="1:28" ht="17.25" customHeight="1" x14ac:dyDescent="0.3">
      <c r="A5" s="32" t="s">
        <v>53</v>
      </c>
      <c r="B5" s="177" t="s">
        <v>54</v>
      </c>
      <c r="C5" s="177"/>
      <c r="D5" s="178" t="s">
        <v>55</v>
      </c>
      <c r="E5" s="178"/>
      <c r="F5" s="178" t="s">
        <v>55</v>
      </c>
      <c r="G5" s="178"/>
      <c r="H5" s="179" t="s">
        <v>56</v>
      </c>
      <c r="I5" s="179"/>
      <c r="J5" s="178" t="s">
        <v>55</v>
      </c>
      <c r="K5" s="178"/>
      <c r="L5" s="179" t="s">
        <v>57</v>
      </c>
      <c r="M5" s="179"/>
      <c r="N5" s="30"/>
      <c r="O5" s="33"/>
      <c r="P5" s="177" t="str">
        <f>B5</f>
        <v>Arrivée 12 h</v>
      </c>
      <c r="Q5" s="177"/>
      <c r="R5" s="178" t="s">
        <v>55</v>
      </c>
      <c r="S5" s="178"/>
      <c r="T5" s="178" t="str">
        <f>D5</f>
        <v>Stationnement</v>
      </c>
      <c r="U5" s="178"/>
      <c r="V5" s="180" t="str">
        <f>H5</f>
        <v>Stationnement
et Route (dep 9h)</v>
      </c>
      <c r="W5" s="180"/>
      <c r="X5" s="178" t="str">
        <f>J5</f>
        <v>Stationnement</v>
      </c>
      <c r="Y5" s="178"/>
      <c r="Z5" s="180" t="str">
        <f>L5</f>
        <v>Stationnement
et Route (dep 10h)</v>
      </c>
      <c r="AA5" s="180"/>
      <c r="AB5" s="34"/>
    </row>
    <row r="6" spans="1:28" ht="12.75" customHeight="1" x14ac:dyDescent="0.3">
      <c r="A6" s="35"/>
      <c r="B6" s="36"/>
      <c r="C6" s="36"/>
      <c r="D6" s="37"/>
      <c r="E6" s="37"/>
      <c r="F6" s="37"/>
      <c r="G6" s="37"/>
      <c r="H6" s="36"/>
      <c r="I6" s="36"/>
      <c r="J6" s="37"/>
      <c r="K6" s="37"/>
      <c r="L6" s="37"/>
      <c r="M6" s="37"/>
      <c r="N6" s="30"/>
      <c r="O6" s="33"/>
      <c r="P6" s="38"/>
      <c r="Q6" s="38"/>
      <c r="R6" s="181" t="str">
        <f>IF(P35&gt;80,"Ok","Alerte")</f>
        <v>Ok</v>
      </c>
      <c r="S6" s="181"/>
      <c r="T6" s="181" t="str">
        <f>IF(R35&gt;80,"Ok","Alerte")</f>
        <v>Ok</v>
      </c>
      <c r="U6" s="181"/>
      <c r="V6" s="181" t="str">
        <f>IF(T35&gt;80,"Ok","Alerte")</f>
        <v>Alerte</v>
      </c>
      <c r="W6" s="181"/>
      <c r="X6" s="181" t="str">
        <f>IF(V35&gt;80,"Ok","Alerte")</f>
        <v>Alerte</v>
      </c>
      <c r="Y6" s="181"/>
      <c r="Z6" s="181" t="str">
        <f>IF(X35&gt;80,"Ok","Alerte")</f>
        <v>Alerte</v>
      </c>
      <c r="AA6" s="181"/>
    </row>
    <row r="7" spans="1:28" ht="12.75" customHeight="1" x14ac:dyDescent="0.3">
      <c r="A7" s="39" t="s">
        <v>58</v>
      </c>
      <c r="B7" s="40" t="s">
        <v>59</v>
      </c>
      <c r="C7" s="41" t="s">
        <v>60</v>
      </c>
      <c r="D7" s="40" t="s">
        <v>59</v>
      </c>
      <c r="E7" s="41" t="s">
        <v>60</v>
      </c>
      <c r="F7" s="40" t="s">
        <v>59</v>
      </c>
      <c r="G7" s="41" t="s">
        <v>60</v>
      </c>
      <c r="H7" s="40" t="s">
        <v>59</v>
      </c>
      <c r="I7" s="41" t="s">
        <v>60</v>
      </c>
      <c r="J7" s="40" t="s">
        <v>59</v>
      </c>
      <c r="K7" s="41" t="s">
        <v>60</v>
      </c>
      <c r="L7" s="40" t="s">
        <v>59</v>
      </c>
      <c r="M7" s="41" t="s">
        <v>60</v>
      </c>
      <c r="N7" s="42"/>
      <c r="O7" s="43"/>
      <c r="P7" s="40" t="s">
        <v>59</v>
      </c>
      <c r="Q7" s="41" t="s">
        <v>60</v>
      </c>
      <c r="R7" s="40" t="s">
        <v>59</v>
      </c>
      <c r="S7" s="41" t="s">
        <v>60</v>
      </c>
      <c r="T7" s="40" t="s">
        <v>59</v>
      </c>
      <c r="U7" s="41" t="s">
        <v>60</v>
      </c>
      <c r="V7" s="40" t="s">
        <v>59</v>
      </c>
      <c r="W7" s="41" t="s">
        <v>60</v>
      </c>
      <c r="X7" s="40" t="s">
        <v>59</v>
      </c>
      <c r="Y7" s="41" t="s">
        <v>60</v>
      </c>
      <c r="Z7" s="40" t="s">
        <v>59</v>
      </c>
      <c r="AA7" s="44" t="s">
        <v>60</v>
      </c>
    </row>
    <row r="8" spans="1:28" ht="4.5" customHeight="1" x14ac:dyDescent="0.3">
      <c r="B8" s="42"/>
      <c r="D8" s="42"/>
      <c r="F8" s="42"/>
      <c r="H8" s="42"/>
      <c r="J8" s="42"/>
      <c r="L8" s="42"/>
      <c r="N8" s="42"/>
      <c r="O8" s="43"/>
      <c r="P8" s="42"/>
      <c r="R8" s="42"/>
      <c r="T8" s="42"/>
      <c r="V8" s="42"/>
      <c r="X8" s="42"/>
      <c r="Z8" s="42"/>
      <c r="AA8" s="45"/>
    </row>
    <row r="9" spans="1:28" ht="12.75" customHeight="1" x14ac:dyDescent="0.25">
      <c r="A9" s="46" t="s">
        <v>61</v>
      </c>
      <c r="B9" s="47">
        <f>B19</f>
        <v>12</v>
      </c>
      <c r="C9" s="48">
        <f>CONSOMMATEURS!$A$6*B9</f>
        <v>0.01</v>
      </c>
      <c r="D9" s="47">
        <f>D19</f>
        <v>24</v>
      </c>
      <c r="E9" s="48">
        <f>CONSOMMATEURS!$A$6*D9</f>
        <v>0.02</v>
      </c>
      <c r="F9" s="47">
        <v>24</v>
      </c>
      <c r="G9" s="49">
        <f>CONSOMMATEURS!$A$6*F9</f>
        <v>0.02</v>
      </c>
      <c r="H9" s="47">
        <v>24</v>
      </c>
      <c r="I9" s="48">
        <f>CONSOMMATEURS!$A$6*H9</f>
        <v>0.02</v>
      </c>
      <c r="J9" s="47">
        <v>24</v>
      </c>
      <c r="K9" s="48">
        <f>CONSOMMATEURS!$A$6*J9</f>
        <v>0.02</v>
      </c>
      <c r="L9" s="47">
        <v>24</v>
      </c>
      <c r="M9" s="49">
        <f>CONSOMMATEURS!$A$6*L9</f>
        <v>0.02</v>
      </c>
      <c r="N9" s="42"/>
      <c r="O9" s="50" t="s">
        <v>62</v>
      </c>
      <c r="P9" s="51">
        <v>0</v>
      </c>
      <c r="Q9" s="52">
        <v>0</v>
      </c>
      <c r="R9" s="53"/>
      <c r="S9" s="54">
        <f>P35</f>
        <v>136.23583333333335</v>
      </c>
      <c r="T9" s="55"/>
      <c r="U9" s="55">
        <f>R35</f>
        <v>88.915833333333339</v>
      </c>
      <c r="V9" s="53"/>
      <c r="W9" s="55">
        <f>T35</f>
        <v>39.095833333333346</v>
      </c>
      <c r="X9" s="53"/>
      <c r="Y9" s="55">
        <f>V35</f>
        <v>55.965858585858612</v>
      </c>
      <c r="Z9" s="53"/>
      <c r="AA9" s="54">
        <f>X35</f>
        <v>18.986767676767712</v>
      </c>
    </row>
    <row r="10" spans="1:28" ht="4.5" customHeight="1" x14ac:dyDescent="0.3">
      <c r="B10" s="56"/>
      <c r="D10" s="56"/>
      <c r="F10" s="56"/>
      <c r="H10" s="56"/>
      <c r="J10" s="56"/>
      <c r="L10" s="56"/>
      <c r="N10" s="42"/>
      <c r="O10" s="57"/>
      <c r="P10" s="58"/>
      <c r="Q10" s="24"/>
      <c r="R10" s="42"/>
      <c r="T10" s="42"/>
      <c r="V10" s="42"/>
      <c r="X10" s="42"/>
      <c r="Z10" s="42"/>
      <c r="AA10" s="45"/>
    </row>
    <row r="11" spans="1:28" ht="15" customHeight="1" x14ac:dyDescent="0.25">
      <c r="A11" s="59" t="s">
        <v>63</v>
      </c>
      <c r="B11" s="60">
        <v>2</v>
      </c>
      <c r="C11" s="17">
        <f>CONSOMMATEURS!$A$11*B11</f>
        <v>5</v>
      </c>
      <c r="D11" s="60">
        <v>2</v>
      </c>
      <c r="E11" s="17">
        <f>CONSOMMATEURS!$A$11*D11</f>
        <v>5</v>
      </c>
      <c r="F11" s="61">
        <v>2</v>
      </c>
      <c r="G11" s="17">
        <f>CONSOMMATEURS!$A$11*F11</f>
        <v>5</v>
      </c>
      <c r="H11" s="60">
        <v>2</v>
      </c>
      <c r="I11" s="17">
        <f>CONSOMMATEURS!$A$11*H11</f>
        <v>5</v>
      </c>
      <c r="J11" s="60">
        <v>2</v>
      </c>
      <c r="K11" s="62">
        <f>CONSOMMATEURS!$A$11*J11</f>
        <v>5</v>
      </c>
      <c r="L11" s="60">
        <v>2</v>
      </c>
      <c r="M11" s="17">
        <f>CONSOMMATEURS!$A$11*L11</f>
        <v>5</v>
      </c>
      <c r="N11" s="42"/>
      <c r="O11" s="63"/>
      <c r="P11" s="182" t="s">
        <v>64</v>
      </c>
      <c r="Q11" s="182"/>
      <c r="R11" s="64"/>
      <c r="S11" s="65"/>
      <c r="T11" s="66"/>
      <c r="U11" s="67"/>
      <c r="V11" s="66"/>
      <c r="W11" s="67"/>
      <c r="X11" s="66"/>
      <c r="Y11" s="68"/>
      <c r="Z11" s="66"/>
      <c r="AA11" s="69"/>
    </row>
    <row r="12" spans="1:28" ht="7.5" customHeight="1" x14ac:dyDescent="0.3">
      <c r="A12" s="70" t="s">
        <v>65</v>
      </c>
      <c r="B12" s="71"/>
      <c r="C12" s="72">
        <f>CONSOMMATEURS!$E$12*B11</f>
        <v>1</v>
      </c>
      <c r="D12" s="71"/>
      <c r="E12" s="72">
        <f>CONSOMMATEURS!$E$12*D11</f>
        <v>1</v>
      </c>
      <c r="F12" s="73"/>
      <c r="G12" s="72">
        <f>CONSOMMATEURS!$E$12*F11</f>
        <v>1</v>
      </c>
      <c r="H12" s="71"/>
      <c r="I12" s="72">
        <f>CONSOMMATEURS!$E$12*H11</f>
        <v>1</v>
      </c>
      <c r="J12" s="71"/>
      <c r="K12" s="72">
        <f>CONSOMMATEURS!$E$12*J11</f>
        <v>1</v>
      </c>
      <c r="L12" s="73"/>
      <c r="M12" s="72">
        <f>CONSOMMATEURS!$E$12*L11</f>
        <v>1</v>
      </c>
      <c r="N12" s="42"/>
      <c r="O12" s="74"/>
      <c r="P12" s="56"/>
      <c r="R12" s="75"/>
      <c r="T12" s="75"/>
      <c r="V12" s="75"/>
      <c r="X12" s="75"/>
      <c r="Z12" s="75"/>
      <c r="AA12" s="45"/>
    </row>
    <row r="13" spans="1:28" ht="15" customHeight="1" x14ac:dyDescent="0.25">
      <c r="A13" s="76" t="s">
        <v>66</v>
      </c>
      <c r="B13" s="60">
        <v>1</v>
      </c>
      <c r="C13" s="17">
        <f>CONSOMMATEURS!$A$19*B13</f>
        <v>5</v>
      </c>
      <c r="D13" s="60">
        <v>2</v>
      </c>
      <c r="E13" s="17">
        <f>CONSOMMATEURS!$A$19*D13</f>
        <v>10</v>
      </c>
      <c r="F13" s="61">
        <v>2</v>
      </c>
      <c r="G13" s="17">
        <f>CONSOMMATEURS!$A$19*F13</f>
        <v>10</v>
      </c>
      <c r="H13" s="61">
        <v>0.5</v>
      </c>
      <c r="I13" s="17">
        <f>CONSOMMATEURS!$A$19*H13</f>
        <v>2.5</v>
      </c>
      <c r="J13" s="60">
        <v>2</v>
      </c>
      <c r="K13" s="62">
        <f>CONSOMMATEURS!$A$19*J13</f>
        <v>10</v>
      </c>
      <c r="L13" s="61">
        <v>0.5</v>
      </c>
      <c r="M13" s="17">
        <f>CONSOMMATEURS!$A$19*L13</f>
        <v>2.5</v>
      </c>
      <c r="N13" s="42"/>
      <c r="O13" s="77" t="s">
        <v>67</v>
      </c>
      <c r="P13" s="78">
        <v>2</v>
      </c>
      <c r="Q13" s="79">
        <f>(100*85/100)*P13</f>
        <v>170</v>
      </c>
      <c r="R13" s="64"/>
      <c r="S13" s="55"/>
      <c r="T13" s="64"/>
      <c r="U13" s="55"/>
      <c r="V13" s="64"/>
      <c r="W13" s="55"/>
      <c r="X13" s="64"/>
      <c r="Y13" s="55"/>
      <c r="Z13" s="64"/>
      <c r="AA13" s="54"/>
    </row>
    <row r="14" spans="1:28" ht="15" customHeight="1" x14ac:dyDescent="0.25">
      <c r="A14" s="59" t="s">
        <v>68</v>
      </c>
      <c r="B14" s="80">
        <f>B9-B13</f>
        <v>11</v>
      </c>
      <c r="C14" s="17">
        <f>CONSOMMATEURS!$E$20*B14</f>
        <v>0.91666666666666663</v>
      </c>
      <c r="D14" s="80">
        <f>D9-D13</f>
        <v>22</v>
      </c>
      <c r="E14" s="17">
        <f>CONSOMMATEURS!$E$20*D14</f>
        <v>1.8333333333333333</v>
      </c>
      <c r="F14" s="80">
        <f>F9-F13</f>
        <v>22</v>
      </c>
      <c r="G14" s="17">
        <f>CONSOMMATEURS!$E$20*F14</f>
        <v>1.8333333333333333</v>
      </c>
      <c r="H14" s="80">
        <f>H9-H13</f>
        <v>23.5</v>
      </c>
      <c r="I14" s="17">
        <f>CONSOMMATEURS!$E$20*H14</f>
        <v>1.9583333333333333</v>
      </c>
      <c r="J14" s="80">
        <f>J9-J13</f>
        <v>22</v>
      </c>
      <c r="K14" s="17">
        <f>CONSOMMATEURS!$E$20*J14</f>
        <v>1.8333333333333333</v>
      </c>
      <c r="L14" s="80">
        <f>L9-L13</f>
        <v>23.5</v>
      </c>
      <c r="M14" s="17">
        <f>CONSOMMATEURS!$E$20*L14</f>
        <v>1.9583333333333333</v>
      </c>
      <c r="N14" s="42"/>
      <c r="O14" s="77"/>
      <c r="P14" s="81"/>
      <c r="Q14" s="79"/>
      <c r="R14" s="64"/>
      <c r="S14" s="55"/>
      <c r="T14" s="64"/>
      <c r="U14" s="55"/>
      <c r="V14" s="64"/>
      <c r="W14" s="55"/>
      <c r="X14" s="64"/>
      <c r="Y14" s="55"/>
      <c r="Z14" s="64"/>
      <c r="AA14" s="54"/>
    </row>
    <row r="15" spans="1:28" ht="15" customHeight="1" x14ac:dyDescent="0.25">
      <c r="A15" s="82" t="s">
        <v>69</v>
      </c>
      <c r="B15" s="83">
        <f>B13</f>
        <v>1</v>
      </c>
      <c r="C15" s="17">
        <f>CONSOMMATEURS!$A$21*B13</f>
        <v>0.83333333333333337</v>
      </c>
      <c r="D15" s="84">
        <f>D13</f>
        <v>2</v>
      </c>
      <c r="E15" s="17">
        <f>CONSOMMATEURS!$A$21*D13</f>
        <v>1.6666666666666667</v>
      </c>
      <c r="F15" s="85">
        <f>F13</f>
        <v>2</v>
      </c>
      <c r="G15" s="17">
        <f>CONSOMMATEURS!$A$21*F13</f>
        <v>1.6666666666666667</v>
      </c>
      <c r="H15" s="86">
        <f>H13</f>
        <v>0.5</v>
      </c>
      <c r="I15" s="17">
        <f>CONSOMMATEURS!$A$21*H13</f>
        <v>0.41666666666666669</v>
      </c>
      <c r="J15" s="87">
        <f>J13</f>
        <v>2</v>
      </c>
      <c r="K15" s="17">
        <f>CONSOMMATEURS!$A$21*J13</f>
        <v>1.6666666666666667</v>
      </c>
      <c r="L15" s="86">
        <f>L13</f>
        <v>0.5</v>
      </c>
      <c r="M15" s="17">
        <f>CONSOMMATEURS!$A$21*L13</f>
        <v>0.41666666666666669</v>
      </c>
      <c r="N15" s="42"/>
      <c r="O15" s="88" t="s">
        <v>70</v>
      </c>
      <c r="P15" s="89">
        <v>0</v>
      </c>
      <c r="Q15" s="90">
        <f>PRODUCTEURS!$A$14*P15</f>
        <v>0</v>
      </c>
      <c r="R15" s="89">
        <f>P15</f>
        <v>0</v>
      </c>
      <c r="S15" s="90">
        <f>PRODUCTEURS!$A$14*R15</f>
        <v>0</v>
      </c>
      <c r="T15" s="89">
        <f>P15</f>
        <v>0</v>
      </c>
      <c r="U15" s="90">
        <f>PRODUCTEURS!$A$14*T15</f>
        <v>0</v>
      </c>
      <c r="V15" s="89">
        <f>T15</f>
        <v>0</v>
      </c>
      <c r="W15" s="90">
        <f>PRODUCTEURS!$A$14*V15</f>
        <v>0</v>
      </c>
      <c r="X15" s="89">
        <f>V15</f>
        <v>0</v>
      </c>
      <c r="Y15" s="90">
        <f>PRODUCTEURS!$A$14*X15</f>
        <v>0</v>
      </c>
      <c r="Z15" s="89">
        <f>X15</f>
        <v>0</v>
      </c>
      <c r="AA15" s="91">
        <f>PRODUCTEURS!$A$14*Z15</f>
        <v>0</v>
      </c>
    </row>
    <row r="16" spans="1:28" ht="15" customHeight="1" x14ac:dyDescent="0.25">
      <c r="A16" s="59" t="s">
        <v>71</v>
      </c>
      <c r="B16" s="83">
        <f>B9-B15</f>
        <v>11</v>
      </c>
      <c r="C16" s="17">
        <f>CONSOMMATEURS!$E$22*B16</f>
        <v>0.91666666666666663</v>
      </c>
      <c r="D16" s="83">
        <f>D9-D15</f>
        <v>22</v>
      </c>
      <c r="E16" s="17">
        <f>CONSOMMATEURS!$E$22*D16</f>
        <v>1.8333333333333333</v>
      </c>
      <c r="F16" s="83">
        <f>F9-F15</f>
        <v>22</v>
      </c>
      <c r="G16" s="17">
        <f>CONSOMMATEURS!$E$22*F16</f>
        <v>1.8333333333333333</v>
      </c>
      <c r="H16" s="83">
        <f>H9-H15</f>
        <v>23.5</v>
      </c>
      <c r="I16" s="17">
        <f>CONSOMMATEURS!$E$22*H16</f>
        <v>1.9583333333333333</v>
      </c>
      <c r="J16" s="83">
        <f>J9-J15</f>
        <v>22</v>
      </c>
      <c r="K16" s="17">
        <f>CONSOMMATEURS!$E$22*J16</f>
        <v>1.8333333333333333</v>
      </c>
      <c r="L16" s="83">
        <f>L9-L15</f>
        <v>23.5</v>
      </c>
      <c r="M16" s="17">
        <f>CONSOMMATEURS!$E$22*L16</f>
        <v>1.9583333333333333</v>
      </c>
      <c r="N16" s="42"/>
      <c r="O16" s="88"/>
      <c r="P16" s="83"/>
      <c r="Q16" s="92"/>
      <c r="R16" s="83"/>
      <c r="S16" s="92"/>
      <c r="T16" s="83"/>
      <c r="U16" s="92"/>
      <c r="V16" s="83"/>
      <c r="W16" s="92"/>
      <c r="X16" s="83"/>
      <c r="Y16" s="92"/>
      <c r="Z16" s="83"/>
      <c r="AA16" s="93"/>
    </row>
    <row r="17" spans="1:28" ht="15" customHeight="1" x14ac:dyDescent="0.25">
      <c r="A17" s="59" t="s">
        <v>72</v>
      </c>
      <c r="B17" s="60">
        <v>1</v>
      </c>
      <c r="C17" s="16">
        <f>CONSOMMATEURS!$A$18*B17*0.15</f>
        <v>0.3</v>
      </c>
      <c r="D17" s="94">
        <v>0</v>
      </c>
      <c r="E17" s="16">
        <f>CONSOMMATEURS!$A$18*D17*0.15</f>
        <v>0</v>
      </c>
      <c r="F17" s="95">
        <v>0</v>
      </c>
      <c r="G17" s="16">
        <f>CONSOMMATEURS!$A$18*F17*0.15</f>
        <v>0</v>
      </c>
      <c r="H17" s="96">
        <v>2</v>
      </c>
      <c r="I17" s="16">
        <f>CONSOMMATEURS!$A$18*H17*0.15</f>
        <v>0.6</v>
      </c>
      <c r="J17" s="97">
        <v>0</v>
      </c>
      <c r="K17" s="16">
        <f>CONSOMMATEURS!$A$18*J17*0.15</f>
        <v>0</v>
      </c>
      <c r="L17" s="98">
        <v>1</v>
      </c>
      <c r="M17" s="16">
        <f>CONSOMMATEURS!$A$18*L17*0.15</f>
        <v>0.3</v>
      </c>
      <c r="N17" s="42"/>
      <c r="O17" s="88" t="s">
        <v>73</v>
      </c>
      <c r="P17" s="99">
        <v>2</v>
      </c>
      <c r="Q17" s="17">
        <f>PRODUCTEURS!$E$14*P17</f>
        <v>5.0000000000000009</v>
      </c>
      <c r="R17" s="78">
        <f>P17</f>
        <v>2</v>
      </c>
      <c r="S17" s="17">
        <f>PRODUCTEURS!$E$14*R17</f>
        <v>5.0000000000000009</v>
      </c>
      <c r="T17" s="78">
        <v>1</v>
      </c>
      <c r="U17" s="17">
        <f>PRODUCTEURS!$E$14*T17</f>
        <v>2.5000000000000004</v>
      </c>
      <c r="V17" s="78">
        <v>3</v>
      </c>
      <c r="W17" s="17">
        <f>PRODUCTEURS!$E$14*V17</f>
        <v>7.5000000000000018</v>
      </c>
      <c r="X17" s="100">
        <v>1.5</v>
      </c>
      <c r="Y17" s="17">
        <f>PRODUCTEURS!$E$14*X17</f>
        <v>3.7500000000000009</v>
      </c>
      <c r="Z17" s="100">
        <v>0.5</v>
      </c>
      <c r="AA17" s="101">
        <f>PRODUCTEURS!$E$14*Z17</f>
        <v>1.2500000000000002</v>
      </c>
    </row>
    <row r="18" spans="1:28" ht="7.5" customHeight="1" x14ac:dyDescent="0.3">
      <c r="B18" s="102">
        <f>CONSOMMATEURS!$E$16/12*B19</f>
        <v>18.25</v>
      </c>
      <c r="C18" s="103">
        <f>CONSOMMATEURS!$E$17</f>
        <v>35.416666666666664</v>
      </c>
      <c r="D18" s="102">
        <f>CONSOMMATEURS!$E$16/12*D19</f>
        <v>36.5</v>
      </c>
      <c r="E18" s="103">
        <f>CONSOMMATEURS!$E$17</f>
        <v>35.416666666666664</v>
      </c>
      <c r="F18" s="102">
        <f>CONSOMMATEURS!$E$16/12*F19</f>
        <v>36.5</v>
      </c>
      <c r="G18" s="103">
        <f>CONSOMMATEURS!$E$17</f>
        <v>35.416666666666664</v>
      </c>
      <c r="H18" s="102">
        <f>CONSOMMATEURS!$E$16/12*H19</f>
        <v>33.458333333333329</v>
      </c>
      <c r="I18" s="103">
        <f>CONSOMMATEURS!$E$17</f>
        <v>35.416666666666664</v>
      </c>
      <c r="J18" s="102">
        <f>CONSOMMATEURS!$E$16/12*J19</f>
        <v>36.5</v>
      </c>
      <c r="K18" s="103">
        <f>CONSOMMATEURS!$E$17</f>
        <v>35.416666666666664</v>
      </c>
      <c r="L18" s="102">
        <f>CONSOMMATEURS!$E$16/12*L19</f>
        <v>30.416666666666664</v>
      </c>
      <c r="M18" s="103">
        <f>CONSOMMATEURS!$E$17</f>
        <v>35.416666666666664</v>
      </c>
      <c r="N18" s="42"/>
      <c r="O18" s="43"/>
      <c r="P18" s="104"/>
      <c r="R18" s="81"/>
      <c r="T18" s="58"/>
      <c r="V18" s="58"/>
      <c r="X18" s="81"/>
      <c r="Z18" s="105"/>
      <c r="AA18" s="45"/>
    </row>
    <row r="19" spans="1:28" ht="15" customHeight="1" x14ac:dyDescent="0.3">
      <c r="A19" s="76" t="s">
        <v>74</v>
      </c>
      <c r="B19" s="60">
        <v>12</v>
      </c>
      <c r="C19" s="17">
        <f>IF(B19=24,C18,B18*B19/12)</f>
        <v>18.25</v>
      </c>
      <c r="D19" s="60">
        <v>24</v>
      </c>
      <c r="E19" s="17">
        <f>IF(D19=24,E18,D18*D19/12)</f>
        <v>35.416666666666664</v>
      </c>
      <c r="F19" s="60">
        <v>24</v>
      </c>
      <c r="G19" s="17">
        <f>IF(F19=24,G18,F18*F19/12)</f>
        <v>35.416666666666664</v>
      </c>
      <c r="H19" s="95">
        <f>24-V22</f>
        <v>22</v>
      </c>
      <c r="I19" s="17">
        <f>IF(H19=24,I18,H18*H19/12)</f>
        <v>61.340277777777771</v>
      </c>
      <c r="J19" s="60">
        <v>24</v>
      </c>
      <c r="K19" s="17">
        <f>IF(J19=24,K18,J18*J19/12)</f>
        <v>35.416666666666664</v>
      </c>
      <c r="L19" s="60">
        <f>24-Z22</f>
        <v>20</v>
      </c>
      <c r="M19" s="17">
        <f>IF(L19=24,M18,L18*L19/12)</f>
        <v>50.694444444444436</v>
      </c>
      <c r="N19" s="42"/>
      <c r="O19" s="88" t="s">
        <v>75</v>
      </c>
      <c r="P19" s="99">
        <v>0</v>
      </c>
      <c r="Q19" s="62">
        <f>PRODUCTEURS!$A$9*P19</f>
        <v>0</v>
      </c>
      <c r="R19" s="78">
        <v>0</v>
      </c>
      <c r="S19" s="62">
        <f>PRODUCTEURS!$A$9*R19</f>
        <v>0</v>
      </c>
      <c r="T19" s="78">
        <v>0</v>
      </c>
      <c r="U19" s="62">
        <f>PRODUCTEURS!$A$9*T19</f>
        <v>0</v>
      </c>
      <c r="V19" s="78">
        <v>0</v>
      </c>
      <c r="W19" s="62">
        <f>PRODUCTEURS!$A$9*V19</f>
        <v>0</v>
      </c>
      <c r="X19" s="78">
        <v>0</v>
      </c>
      <c r="Y19" s="62">
        <f>PRODUCTEURS!$A$9*X19</f>
        <v>0</v>
      </c>
      <c r="Z19" s="78">
        <v>0</v>
      </c>
      <c r="AA19" s="106">
        <f>PRODUCTEURS!$A$9*Z19</f>
        <v>0</v>
      </c>
    </row>
    <row r="20" spans="1:28" ht="15" customHeight="1" x14ac:dyDescent="0.25">
      <c r="A20" s="107" t="s">
        <v>76</v>
      </c>
      <c r="B20" s="83">
        <v>0</v>
      </c>
      <c r="C20" s="16">
        <f>CONSOMMATEURS!$E$14*B20</f>
        <v>0</v>
      </c>
      <c r="D20" s="83">
        <v>0</v>
      </c>
      <c r="E20" s="16">
        <f>CONSOMMATEURS!$E$14*D20</f>
        <v>0</v>
      </c>
      <c r="F20" s="83">
        <v>0</v>
      </c>
      <c r="G20" s="16">
        <f>CONSOMMATEURS!$E$14*F20</f>
        <v>0</v>
      </c>
      <c r="H20" s="83">
        <v>0</v>
      </c>
      <c r="I20" s="16">
        <f>CONSOMMATEURS!$E$14*H20</f>
        <v>0</v>
      </c>
      <c r="J20" s="83">
        <v>0</v>
      </c>
      <c r="K20" s="16">
        <f>CONSOMMATEURS!$E$14*J20</f>
        <v>0</v>
      </c>
      <c r="L20" s="83">
        <v>0</v>
      </c>
      <c r="M20" s="16">
        <f>CONSOMMATEURS!$E$14*L20</f>
        <v>0</v>
      </c>
      <c r="N20" s="42"/>
      <c r="O20" s="77" t="s">
        <v>77</v>
      </c>
      <c r="P20" s="108"/>
      <c r="Q20" s="109">
        <f>C37</f>
        <v>6.1333333333333337</v>
      </c>
      <c r="R20" s="108"/>
      <c r="S20" s="109">
        <f>E37</f>
        <v>7.6666666666666661</v>
      </c>
      <c r="T20" s="108"/>
      <c r="U20" s="109">
        <f>G37</f>
        <v>7.6666666666666661</v>
      </c>
      <c r="V20" s="108"/>
      <c r="W20" s="109">
        <f>I37</f>
        <v>8.5166666666666657</v>
      </c>
      <c r="X20" s="108"/>
      <c r="Y20" s="109">
        <f>K37</f>
        <v>7.6666666666666661</v>
      </c>
      <c r="Z20" s="108"/>
      <c r="AA20" s="110">
        <f>M37</f>
        <v>8.2166666666666668</v>
      </c>
    </row>
    <row r="21" spans="1:28" ht="7.5" customHeight="1" x14ac:dyDescent="0.25">
      <c r="A21" s="70" t="s">
        <v>65</v>
      </c>
      <c r="B21" s="71"/>
      <c r="C21" s="72">
        <f>CONSOMMATEURS!$E$10*B24</f>
        <v>0.5</v>
      </c>
      <c r="D21" s="71"/>
      <c r="E21" s="72">
        <f>CONSOMMATEURS!$E$10*D24</f>
        <v>1</v>
      </c>
      <c r="F21" s="73"/>
      <c r="G21" s="72">
        <f>CONSOMMATEURS!$E$10*F24</f>
        <v>1</v>
      </c>
      <c r="H21" s="71"/>
      <c r="I21" s="72">
        <f>CONSOMMATEURS!$E$10*H24</f>
        <v>1</v>
      </c>
      <c r="J21" s="71"/>
      <c r="K21" s="72">
        <f>CONSOMMATEURS!$E$10*J24</f>
        <v>1</v>
      </c>
      <c r="L21" s="73"/>
      <c r="M21" s="72">
        <f>CONSOMMATEURS!$E$10*L24</f>
        <v>0</v>
      </c>
      <c r="N21" s="42"/>
      <c r="O21" s="111" t="s">
        <v>78</v>
      </c>
      <c r="P21" s="112"/>
      <c r="Q21" s="113">
        <f>PRODUCTEURS!$E$11*(P22-0.5)</f>
        <v>-25</v>
      </c>
      <c r="R21" s="112"/>
      <c r="S21" s="113">
        <f>PRODUCTEURS!$E$11*(R22-0.5)</f>
        <v>-25</v>
      </c>
      <c r="T21" s="112"/>
      <c r="U21" s="113">
        <f>PRODUCTEURS!$E$11*(T22-0.5)</f>
        <v>-25</v>
      </c>
      <c r="V21" s="112"/>
      <c r="W21" s="113">
        <f>PRODUCTEURS!$E$11*(V22-0.5)</f>
        <v>75</v>
      </c>
      <c r="X21" s="112"/>
      <c r="Y21" s="113">
        <f>PRODUCTEURS!$E$11*(X22-0.5)</f>
        <v>-25</v>
      </c>
      <c r="Z21" s="112"/>
      <c r="AA21" s="114">
        <f>PRODUCTEURS!$E$11*(Z22-0.5)</f>
        <v>175</v>
      </c>
      <c r="AB21" s="42"/>
    </row>
    <row r="22" spans="1:28" ht="15" customHeight="1" x14ac:dyDescent="0.25">
      <c r="A22" s="107" t="s">
        <v>79</v>
      </c>
      <c r="B22" s="60">
        <v>1</v>
      </c>
      <c r="C22" s="115"/>
      <c r="D22" s="60">
        <v>2</v>
      </c>
      <c r="E22" s="115"/>
      <c r="F22" s="60">
        <v>2</v>
      </c>
      <c r="G22" s="115"/>
      <c r="H22" s="60">
        <v>2</v>
      </c>
      <c r="I22" s="115"/>
      <c r="J22" s="60">
        <v>2</v>
      </c>
      <c r="K22" s="115"/>
      <c r="L22" s="60">
        <v>0</v>
      </c>
      <c r="M22" s="65"/>
      <c r="N22" s="42"/>
      <c r="O22" s="88" t="s">
        <v>80</v>
      </c>
      <c r="P22" s="89">
        <v>0</v>
      </c>
      <c r="Q22" s="92">
        <f>IF(P22&gt;0,Q21,0)</f>
        <v>0</v>
      </c>
      <c r="R22" s="89">
        <v>0</v>
      </c>
      <c r="S22" s="92">
        <f>IF(R22&gt;0,S21,0)</f>
        <v>0</v>
      </c>
      <c r="T22" s="89">
        <v>0</v>
      </c>
      <c r="U22" s="92">
        <f>IF(T22&gt;0,U21,0)</f>
        <v>0</v>
      </c>
      <c r="V22" s="116">
        <v>2</v>
      </c>
      <c r="W22" s="92">
        <f>IF(V22&gt;0,W21,0)</f>
        <v>75</v>
      </c>
      <c r="X22" s="89">
        <v>0</v>
      </c>
      <c r="Y22" s="92">
        <f>IF(X22&gt;0,Y21,0)</f>
        <v>0</v>
      </c>
      <c r="Z22" s="117">
        <v>4</v>
      </c>
      <c r="AA22" s="93">
        <f>IF(Z22&gt;0,AA21,0)</f>
        <v>175</v>
      </c>
      <c r="AB22" s="42"/>
    </row>
    <row r="23" spans="1:28" ht="15" customHeight="1" x14ac:dyDescent="0.3">
      <c r="A23" s="107" t="s">
        <v>81</v>
      </c>
      <c r="B23" s="118">
        <f>B22</f>
        <v>1</v>
      </c>
      <c r="C23" s="17">
        <f>CONSOMMATEURS!$A$8*B22/4</f>
        <v>0.625</v>
      </c>
      <c r="D23" s="118">
        <f>D22</f>
        <v>2</v>
      </c>
      <c r="E23" s="17">
        <f>CONSOMMATEURS!$A$8*D22/4</f>
        <v>1.25</v>
      </c>
      <c r="F23" s="118">
        <f>F22</f>
        <v>2</v>
      </c>
      <c r="G23" s="17">
        <f>CONSOMMATEURS!$A$8*F22/4</f>
        <v>1.25</v>
      </c>
      <c r="H23" s="118">
        <f>H22</f>
        <v>2</v>
      </c>
      <c r="I23" s="17">
        <f>CONSOMMATEURS!$A$8*H22/4</f>
        <v>1.25</v>
      </c>
      <c r="J23" s="118">
        <f>J22</f>
        <v>2</v>
      </c>
      <c r="K23" s="17">
        <f>CONSOMMATEURS!$A$8*J22/4</f>
        <v>1.25</v>
      </c>
      <c r="L23" s="118">
        <f>L22</f>
        <v>0</v>
      </c>
      <c r="M23" s="17">
        <f>CONSOMMATEURS!$A$8*L22/4</f>
        <v>0</v>
      </c>
      <c r="N23" s="42"/>
      <c r="O23" s="43"/>
      <c r="P23" s="58"/>
      <c r="Q23" s="17"/>
      <c r="R23" s="42"/>
      <c r="S23" s="17"/>
      <c r="T23" s="58"/>
      <c r="U23" s="17"/>
      <c r="V23" s="58"/>
      <c r="W23" s="17"/>
      <c r="X23" s="58"/>
      <c r="Y23" s="17"/>
      <c r="Z23" s="58"/>
      <c r="AA23" s="101"/>
    </row>
    <row r="24" spans="1:28" ht="15" customHeight="1" x14ac:dyDescent="0.25">
      <c r="A24" s="107" t="s">
        <v>82</v>
      </c>
      <c r="B24" s="118">
        <f>B22</f>
        <v>1</v>
      </c>
      <c r="C24" s="17">
        <f>CONSOMMATEURS!$A$9*B22/4</f>
        <v>0.625</v>
      </c>
      <c r="D24" s="118">
        <f>D22</f>
        <v>2</v>
      </c>
      <c r="E24" s="17">
        <f>CONSOMMATEURS!$A$9*D22/4</f>
        <v>1.25</v>
      </c>
      <c r="F24" s="118">
        <f>F22</f>
        <v>2</v>
      </c>
      <c r="G24" s="17">
        <f>CONSOMMATEURS!$A$9*F22/4</f>
        <v>1.25</v>
      </c>
      <c r="H24" s="118">
        <f>H22</f>
        <v>2</v>
      </c>
      <c r="I24" s="17">
        <f>CONSOMMATEURS!$A$9*H22/4</f>
        <v>1.25</v>
      </c>
      <c r="J24" s="118">
        <f>J22</f>
        <v>2</v>
      </c>
      <c r="K24" s="17">
        <f>CONSOMMATEURS!$A$9*J22/4</f>
        <v>1.25</v>
      </c>
      <c r="L24" s="118">
        <f>L22</f>
        <v>0</v>
      </c>
      <c r="M24" s="17">
        <f>CONSOMMATEURS!$A$9*L22/4</f>
        <v>0</v>
      </c>
      <c r="N24" s="42"/>
      <c r="O24" s="88" t="s">
        <v>83</v>
      </c>
      <c r="P24" s="78">
        <v>0</v>
      </c>
      <c r="Q24" s="17">
        <f>PRODUCTEURS!$A$25*P24</f>
        <v>0</v>
      </c>
      <c r="R24" s="78">
        <v>0</v>
      </c>
      <c r="S24" s="17">
        <f>PRODUCTEURS!$A$25*R24</f>
        <v>0</v>
      </c>
      <c r="T24" s="78">
        <v>0</v>
      </c>
      <c r="U24" s="17">
        <f>PRODUCTEURS!$A$25*T24</f>
        <v>0</v>
      </c>
      <c r="V24" s="78">
        <v>1</v>
      </c>
      <c r="W24" s="17">
        <f>PRODUCTEURS!$A$25*V24</f>
        <v>3.8636363636363638</v>
      </c>
      <c r="X24" s="78">
        <v>3</v>
      </c>
      <c r="Y24" s="17">
        <f>PRODUCTEURS!$A$25*X24</f>
        <v>11.590909090909092</v>
      </c>
      <c r="Z24" s="78">
        <v>0</v>
      </c>
      <c r="AA24" s="101">
        <f>PRODUCTEURS!$A$25*Z24</f>
        <v>0</v>
      </c>
    </row>
    <row r="25" spans="1:28" ht="15" customHeight="1" x14ac:dyDescent="0.25">
      <c r="A25" s="107" t="s">
        <v>84</v>
      </c>
      <c r="B25" s="118">
        <f>B22</f>
        <v>1</v>
      </c>
      <c r="C25" s="17">
        <f>CONSOMMATEURS!$A$13*B25/4</f>
        <v>0.4291666666666667</v>
      </c>
      <c r="D25" s="118">
        <f>D22</f>
        <v>2</v>
      </c>
      <c r="E25" s="17">
        <f>CONSOMMATEURS!$A$13*D25/4</f>
        <v>0.85833333333333339</v>
      </c>
      <c r="F25" s="118">
        <f>F22</f>
        <v>2</v>
      </c>
      <c r="G25" s="17">
        <f>CONSOMMATEURS!$A$13*F25/4</f>
        <v>0.85833333333333339</v>
      </c>
      <c r="H25" s="118">
        <f>H22</f>
        <v>2</v>
      </c>
      <c r="I25" s="17">
        <f>CONSOMMATEURS!$A$13*H25/4</f>
        <v>0.85833333333333339</v>
      </c>
      <c r="J25" s="118">
        <f>J22</f>
        <v>2</v>
      </c>
      <c r="K25" s="17">
        <f>CONSOMMATEURS!$A$13*J25/4</f>
        <v>0.85833333333333339</v>
      </c>
      <c r="L25" s="118">
        <f>L22</f>
        <v>0</v>
      </c>
      <c r="M25" s="17">
        <f>CONSOMMATEURS!$A$13*L25/4</f>
        <v>0</v>
      </c>
      <c r="N25" s="42"/>
      <c r="O25" s="88" t="s">
        <v>85</v>
      </c>
      <c r="P25" s="78">
        <v>0</v>
      </c>
      <c r="Q25" s="62">
        <f>PRODUCTEURS!$A$26*P25</f>
        <v>0</v>
      </c>
      <c r="R25" s="78">
        <v>0</v>
      </c>
      <c r="S25" s="62">
        <f>PRODUCTEURS!$A$26*R25</f>
        <v>0</v>
      </c>
      <c r="T25" s="78">
        <v>0</v>
      </c>
      <c r="U25" s="62">
        <f>PRODUCTEURS!$A$26*T25</f>
        <v>0</v>
      </c>
      <c r="V25" s="78">
        <v>0</v>
      </c>
      <c r="W25" s="62">
        <f>PRODUCTEURS!$A$26*V25</f>
        <v>0</v>
      </c>
      <c r="X25" s="78">
        <v>0</v>
      </c>
      <c r="Y25" s="62">
        <f>PRODUCTEURS!$A$26*X25</f>
        <v>0</v>
      </c>
      <c r="Z25" s="78">
        <v>0</v>
      </c>
      <c r="AA25" s="106">
        <f>PRODUCTEURS!$A$26*Z25</f>
        <v>0</v>
      </c>
    </row>
    <row r="26" spans="1:28" ht="4.5" customHeight="1" x14ac:dyDescent="0.3">
      <c r="B26" s="56"/>
      <c r="D26" s="119"/>
      <c r="F26" s="119"/>
      <c r="H26" s="119"/>
      <c r="J26" s="119"/>
      <c r="L26" s="119"/>
      <c r="N26" s="42"/>
      <c r="O26" s="43"/>
      <c r="P26" s="120"/>
      <c r="R26" s="120"/>
      <c r="T26" s="120"/>
      <c r="V26" s="120"/>
      <c r="X26" s="120"/>
      <c r="Z26" s="120"/>
      <c r="AA26" s="45"/>
    </row>
    <row r="27" spans="1:28" ht="15" customHeight="1" x14ac:dyDescent="0.25">
      <c r="A27" s="107" t="s">
        <v>86</v>
      </c>
      <c r="B27" s="60">
        <v>2</v>
      </c>
      <c r="C27" s="17">
        <f>((CONSOMMATEURS!$A$13*0.25)*B27)</f>
        <v>0.85833333333333339</v>
      </c>
      <c r="D27" s="60">
        <v>2</v>
      </c>
      <c r="E27" s="17">
        <f>((CONSOMMATEURS!$A$13*0.25)*D27)</f>
        <v>0.85833333333333339</v>
      </c>
      <c r="F27" s="60">
        <v>2</v>
      </c>
      <c r="G27" s="17">
        <f>((CONSOMMATEURS!$A$13*0.25)*F27)</f>
        <v>0.85833333333333339</v>
      </c>
      <c r="H27" s="60">
        <v>2</v>
      </c>
      <c r="I27" s="17">
        <f>((CONSOMMATEURS!$A$13*0.25)*H27)</f>
        <v>0.85833333333333339</v>
      </c>
      <c r="J27" s="60">
        <v>2</v>
      </c>
      <c r="K27" s="17">
        <f>((CONSOMMATEURS!$A$13*0.25)*J27)</f>
        <v>0.85833333333333339</v>
      </c>
      <c r="L27" s="60">
        <v>2</v>
      </c>
      <c r="M27" s="17">
        <f>((CONSOMMATEURS!$A$13*0.25)*L27)</f>
        <v>0.85833333333333339</v>
      </c>
      <c r="N27" s="42"/>
      <c r="O27" s="88" t="s">
        <v>87</v>
      </c>
      <c r="P27" s="78">
        <v>0</v>
      </c>
      <c r="Q27" s="62">
        <f>PRODUCTEURS!$A$23*P27</f>
        <v>0</v>
      </c>
      <c r="R27" s="78">
        <v>0</v>
      </c>
      <c r="S27" s="62">
        <f>PRODUCTEURS!$A$23*R27</f>
        <v>0</v>
      </c>
      <c r="T27" s="78">
        <v>0</v>
      </c>
      <c r="U27" s="62">
        <f>PRODUCTEURS!$A$23*T27</f>
        <v>0</v>
      </c>
      <c r="V27" s="78">
        <v>0</v>
      </c>
      <c r="W27" s="62">
        <f>PRODUCTEURS!$A$23*V27</f>
        <v>0</v>
      </c>
      <c r="X27" s="78">
        <v>0</v>
      </c>
      <c r="Y27" s="62">
        <f>PRODUCTEURS!$A$23*X27</f>
        <v>0</v>
      </c>
      <c r="Z27" s="78">
        <v>0</v>
      </c>
      <c r="AA27" s="106">
        <f>PRODUCTEURS!$A$23*Z27</f>
        <v>0</v>
      </c>
    </row>
    <row r="28" spans="1:28" ht="4.5" customHeight="1" x14ac:dyDescent="0.25">
      <c r="B28" s="56"/>
      <c r="D28" s="119"/>
      <c r="F28" s="119"/>
      <c r="H28" s="119"/>
      <c r="J28" s="119"/>
      <c r="L28" s="119"/>
      <c r="N28" s="42"/>
      <c r="O28" s="88"/>
      <c r="P28" s="120"/>
      <c r="R28" s="120"/>
      <c r="T28" s="120"/>
      <c r="V28" s="120"/>
      <c r="X28" s="120"/>
      <c r="Z28" s="120"/>
      <c r="AA28" s="45"/>
    </row>
    <row r="29" spans="1:28" ht="15" customHeight="1" x14ac:dyDescent="0.25">
      <c r="A29" s="107" t="s">
        <v>88</v>
      </c>
      <c r="B29" s="121"/>
      <c r="C29" s="122"/>
      <c r="D29" s="121"/>
      <c r="E29" s="122"/>
      <c r="F29" s="121"/>
      <c r="G29" s="122"/>
      <c r="H29" s="121"/>
      <c r="I29" s="122"/>
      <c r="J29" s="121"/>
      <c r="K29" s="122"/>
      <c r="L29" s="121"/>
      <c r="M29" s="122"/>
      <c r="N29" s="42"/>
      <c r="O29" s="88" t="s">
        <v>89</v>
      </c>
      <c r="P29" s="78">
        <v>0</v>
      </c>
      <c r="Q29" s="62">
        <f>PRODUCTEURS!$A$21*P29</f>
        <v>0</v>
      </c>
      <c r="R29" s="78">
        <v>0</v>
      </c>
      <c r="S29" s="62">
        <f>PRODUCTEURS!$A$21*R29</f>
        <v>0</v>
      </c>
      <c r="T29" s="78">
        <v>0</v>
      </c>
      <c r="U29" s="62">
        <f>PRODUCTEURS!$A$21*T29</f>
        <v>0</v>
      </c>
      <c r="V29" s="78">
        <v>0</v>
      </c>
      <c r="W29" s="62">
        <f>PRODUCTEURS!$A$21*V29</f>
        <v>0</v>
      </c>
      <c r="X29" s="78">
        <v>0</v>
      </c>
      <c r="Y29" s="62">
        <f>PRODUCTEURS!$A$21*X29</f>
        <v>0</v>
      </c>
      <c r="Z29" s="78">
        <v>0</v>
      </c>
      <c r="AA29" s="106">
        <f>PRODUCTEURS!$A$21*Z29</f>
        <v>0</v>
      </c>
    </row>
    <row r="30" spans="1:28" ht="15" customHeight="1" x14ac:dyDescent="0.25">
      <c r="A30" s="107" t="s">
        <v>90</v>
      </c>
      <c r="B30" s="123">
        <v>0</v>
      </c>
      <c r="C30" s="62">
        <f>(150/220)*B30</f>
        <v>0</v>
      </c>
      <c r="D30" s="123">
        <v>0</v>
      </c>
      <c r="E30" s="62">
        <f>(150/220)*D30</f>
        <v>0</v>
      </c>
      <c r="F30" s="123">
        <v>0</v>
      </c>
      <c r="G30" s="62">
        <f>(150/220)*F30</f>
        <v>0</v>
      </c>
      <c r="H30" s="123">
        <v>0</v>
      </c>
      <c r="I30" s="62">
        <f>(150/220)*H30</f>
        <v>0</v>
      </c>
      <c r="J30" s="123">
        <v>0</v>
      </c>
      <c r="K30" s="62">
        <f>(150/220)*J30</f>
        <v>0</v>
      </c>
      <c r="L30" s="123">
        <v>0</v>
      </c>
      <c r="M30" s="62">
        <f>(150/220)*L30</f>
        <v>0</v>
      </c>
      <c r="N30" s="42"/>
      <c r="O30" s="88" t="s">
        <v>91</v>
      </c>
      <c r="P30" s="78">
        <v>0</v>
      </c>
      <c r="Q30" s="62">
        <f>PRODUCTEURS!$A$17*P30</f>
        <v>0</v>
      </c>
      <c r="R30" s="78">
        <v>0</v>
      </c>
      <c r="S30" s="62">
        <f>PRODUCTEURS!$A$17*R30</f>
        <v>0</v>
      </c>
      <c r="T30" s="78">
        <v>0</v>
      </c>
      <c r="U30" s="62">
        <f>PRODUCTEURS!$A$17*T30</f>
        <v>0</v>
      </c>
      <c r="V30" s="78">
        <v>0</v>
      </c>
      <c r="W30" s="62">
        <f>PRODUCTEURS!$A$17*V30</f>
        <v>0</v>
      </c>
      <c r="X30" s="78">
        <v>0</v>
      </c>
      <c r="Y30" s="62">
        <f>PRODUCTEURS!$A$17*X30</f>
        <v>0</v>
      </c>
      <c r="Z30" s="78">
        <v>0</v>
      </c>
      <c r="AA30" s="106">
        <f>PRODUCTEURS!$A$17*Z30</f>
        <v>0</v>
      </c>
    </row>
    <row r="31" spans="1:28" ht="15" customHeight="1" x14ac:dyDescent="0.25">
      <c r="A31" s="107" t="s">
        <v>92</v>
      </c>
      <c r="B31" s="123">
        <v>0</v>
      </c>
      <c r="C31" s="16">
        <f>CONSOMMATEURS!$A$7*B31</f>
        <v>0</v>
      </c>
      <c r="D31" s="123">
        <v>0</v>
      </c>
      <c r="E31" s="16">
        <f>CONSOMMATEURS!$A$7*D31</f>
        <v>0</v>
      </c>
      <c r="F31" s="123">
        <v>0</v>
      </c>
      <c r="G31" s="16">
        <f>CONSOMMATEURS!$A$7*F31</f>
        <v>0</v>
      </c>
      <c r="H31" s="123">
        <v>0</v>
      </c>
      <c r="I31" s="16">
        <f>CONSOMMATEURS!$A$7*H31</f>
        <v>0</v>
      </c>
      <c r="J31" s="123">
        <v>0</v>
      </c>
      <c r="K31" s="16">
        <f>CONSOMMATEURS!$A$7*J31</f>
        <v>0</v>
      </c>
      <c r="L31" s="123">
        <v>0</v>
      </c>
      <c r="M31" s="16">
        <f>CONSOMMATEURS!$A$7*L31</f>
        <v>0</v>
      </c>
      <c r="N31" s="42"/>
      <c r="O31" s="88" t="s">
        <v>93</v>
      </c>
      <c r="P31" s="78">
        <v>0</v>
      </c>
      <c r="Q31" s="62">
        <f>PRODUCTEURS!$A$18*P31</f>
        <v>0</v>
      </c>
      <c r="R31" s="78">
        <v>0</v>
      </c>
      <c r="S31" s="62">
        <f>PRODUCTEURS!$A$18*R31</f>
        <v>0</v>
      </c>
      <c r="T31" s="78">
        <v>0</v>
      </c>
      <c r="U31" s="62">
        <f>PRODUCTEURS!$A$18*T31</f>
        <v>0</v>
      </c>
      <c r="V31" s="78">
        <v>0</v>
      </c>
      <c r="W31" s="62">
        <f>PRODUCTEURS!$A$18*V31</f>
        <v>0</v>
      </c>
      <c r="X31" s="78">
        <v>0</v>
      </c>
      <c r="Y31" s="62">
        <f>PRODUCTEURS!$A$18*X31</f>
        <v>0</v>
      </c>
      <c r="Z31" s="78">
        <v>0</v>
      </c>
      <c r="AA31" s="106">
        <f>PRODUCTEURS!$A$18*Z31</f>
        <v>0</v>
      </c>
    </row>
    <row r="32" spans="1:28" ht="15" customHeight="1" x14ac:dyDescent="0.25">
      <c r="A32" s="107" t="s">
        <v>94</v>
      </c>
      <c r="B32" s="56"/>
      <c r="D32" s="119"/>
      <c r="F32" s="119"/>
      <c r="H32" s="119"/>
      <c r="J32" s="119"/>
      <c r="L32" s="119"/>
      <c r="N32" s="42"/>
      <c r="O32" s="88" t="s">
        <v>95</v>
      </c>
      <c r="P32" s="78">
        <v>0</v>
      </c>
      <c r="Q32" s="62">
        <f>PRODUCTEURS!$A$19*P32</f>
        <v>0</v>
      </c>
      <c r="R32" s="78">
        <v>0</v>
      </c>
      <c r="S32" s="62">
        <f>PRODUCTEURS!$A$19*R32</f>
        <v>0</v>
      </c>
      <c r="T32" s="78">
        <v>0</v>
      </c>
      <c r="U32" s="62">
        <f>PRODUCTEURS!$A$19*T32</f>
        <v>0</v>
      </c>
      <c r="V32" s="78">
        <v>0</v>
      </c>
      <c r="W32" s="62">
        <f>PRODUCTEURS!$A$19*V32</f>
        <v>0</v>
      </c>
      <c r="X32" s="78">
        <v>0</v>
      </c>
      <c r="Y32" s="62">
        <f>PRODUCTEURS!$A$19*X32</f>
        <v>0</v>
      </c>
      <c r="Z32" s="78">
        <v>0</v>
      </c>
      <c r="AA32" s="106">
        <f>PRODUCTEURS!$A$19*Z32</f>
        <v>0</v>
      </c>
    </row>
    <row r="33" spans="1:28" ht="7.5" customHeight="1" x14ac:dyDescent="0.25">
      <c r="B33" s="56"/>
      <c r="D33" s="56"/>
      <c r="F33" s="56"/>
      <c r="H33" s="56"/>
      <c r="J33" s="56"/>
      <c r="L33" s="56"/>
      <c r="N33" s="42"/>
      <c r="O33" s="124"/>
      <c r="P33" s="124"/>
      <c r="Q33" s="125">
        <f>SUM(Q13:Q20)+SUM(Q22:Q32)</f>
        <v>181.13333333333333</v>
      </c>
      <c r="R33" s="124"/>
      <c r="S33" s="125">
        <f>SUM(S9:S20)+SUM(S22:S32)</f>
        <v>148.9025</v>
      </c>
      <c r="T33" s="126"/>
      <c r="U33" s="125">
        <f>SUM(U9:U20)+SUM(U22:U32)</f>
        <v>99.08250000000001</v>
      </c>
      <c r="V33" s="126"/>
      <c r="W33" s="125">
        <f>SUM(W9:W20)+SUM(W22:W32)</f>
        <v>133.97613636363639</v>
      </c>
      <c r="X33" s="127"/>
      <c r="Y33" s="125">
        <f>SUM(Y9:Y20)+SUM(Y22:Y32)</f>
        <v>78.973434343434377</v>
      </c>
      <c r="Z33" s="126"/>
      <c r="AA33" s="128">
        <f>SUM(AA9:AA20)+SUM(AA22:AA32)</f>
        <v>203.45343434343437</v>
      </c>
    </row>
    <row r="34" spans="1:28" ht="12" customHeight="1" x14ac:dyDescent="0.25">
      <c r="A34" s="129" t="s">
        <v>96</v>
      </c>
      <c r="B34" s="124"/>
      <c r="C34" s="130">
        <f>SUM(C9:C11)+SUM(C13:C17)+SUM(C19:C20)+SUM(C22:C33)</f>
        <v>33.764166666666668</v>
      </c>
      <c r="D34" s="124"/>
      <c r="E34" s="130">
        <f>SUM(E9:E11)+SUM(E13:E17)+SUM(E19:E20)+SUM(E22:E33)</f>
        <v>59.986666666666665</v>
      </c>
      <c r="F34" s="131"/>
      <c r="G34" s="130">
        <f>SUM(G9:G11)+SUM(G13:G17)+SUM(G19:G20)+SUM(G22:G33)</f>
        <v>59.986666666666665</v>
      </c>
      <c r="H34" s="131"/>
      <c r="I34" s="130">
        <f>SUM(I9:I11)+SUM(I13:I17)+SUM(I19:I20)+SUM(I22:I33)</f>
        <v>78.010277777777773</v>
      </c>
      <c r="J34" s="131"/>
      <c r="K34" s="130">
        <f>SUM(K9:K11)+SUM(K13:K17)+SUM(K19:K20)+SUM(K22:K33)</f>
        <v>59.986666666666665</v>
      </c>
      <c r="L34" s="131"/>
      <c r="M34" s="130">
        <f>SUM(M9:M11)+SUM(M13:M17)+SUM(M19:M20)+SUM(M22:M33)</f>
        <v>63.706111111111099</v>
      </c>
      <c r="N34" s="42"/>
      <c r="O34" s="132" t="s">
        <v>97</v>
      </c>
      <c r="P34" s="122"/>
      <c r="Q34" s="133">
        <f>IF(Q33&gt;$Q$13,$Q$13,Q33)</f>
        <v>170</v>
      </c>
      <c r="R34" s="124"/>
      <c r="S34" s="133">
        <f>IF(S33&gt;$Q$13,$Q$13,S33)</f>
        <v>148.9025</v>
      </c>
      <c r="T34" s="124"/>
      <c r="U34" s="134">
        <f>IF(U33&gt;$Q$13,$Q$13,U33)</f>
        <v>99.08250000000001</v>
      </c>
      <c r="V34" s="124"/>
      <c r="W34" s="133">
        <f>IF(W33&gt;$Q$13,$Q$13,W33)</f>
        <v>133.97613636363639</v>
      </c>
      <c r="X34" s="124"/>
      <c r="Y34" s="134">
        <f>IF(Y33&gt;$Q$13,$Q$13,Y33)</f>
        <v>78.973434343434377</v>
      </c>
      <c r="Z34" s="124"/>
      <c r="AA34" s="135">
        <f>IF(AA33&gt;$Q$13,$Q$13,AA33)</f>
        <v>170</v>
      </c>
      <c r="AB34" s="42"/>
    </row>
    <row r="35" spans="1:28" ht="12.75" customHeight="1" x14ac:dyDescent="0.25">
      <c r="A35" s="35"/>
      <c r="B35" s="42"/>
      <c r="C35" s="136"/>
      <c r="D35" s="42"/>
      <c r="E35" s="136"/>
      <c r="F35" s="137"/>
      <c r="G35" s="138"/>
      <c r="H35" s="137"/>
      <c r="I35" s="136"/>
      <c r="J35" s="137"/>
      <c r="K35" s="138"/>
      <c r="L35" s="137"/>
      <c r="M35" s="136"/>
      <c r="N35" s="42"/>
      <c r="O35" s="139" t="s">
        <v>98</v>
      </c>
      <c r="P35" s="183">
        <f>Q34-C34</f>
        <v>136.23583333333335</v>
      </c>
      <c r="Q35" s="183"/>
      <c r="R35" s="183">
        <f>S33-E34</f>
        <v>88.915833333333339</v>
      </c>
      <c r="S35" s="183"/>
      <c r="T35" s="183">
        <f>U33-G34</f>
        <v>39.095833333333346</v>
      </c>
      <c r="U35" s="183"/>
      <c r="V35" s="183">
        <f>W33-I34</f>
        <v>55.965858585858612</v>
      </c>
      <c r="W35" s="183"/>
      <c r="X35" s="183">
        <f>Y33-K34</f>
        <v>18.986767676767712</v>
      </c>
      <c r="Y35" s="183"/>
      <c r="Z35" s="183">
        <f>AA33-M34</f>
        <v>139.74732323232325</v>
      </c>
      <c r="AA35" s="183"/>
    </row>
    <row r="36" spans="1:28" ht="15.75" customHeight="1" x14ac:dyDescent="0.25">
      <c r="O36" s="140" t="s">
        <v>14</v>
      </c>
    </row>
    <row r="37" spans="1:28" x14ac:dyDescent="0.25">
      <c r="A37" s="141" t="s">
        <v>99</v>
      </c>
      <c r="B37" s="17"/>
      <c r="C37" s="142">
        <f>(C11-C12)+C14+C16+C17</f>
        <v>6.1333333333333337</v>
      </c>
      <c r="D37" s="17"/>
      <c r="E37" s="142">
        <f>(E11-E12)+E14+E16+E17</f>
        <v>7.6666666666666661</v>
      </c>
      <c r="F37" s="17"/>
      <c r="G37" s="142">
        <f>(G11-G12)+G14+G16+G17</f>
        <v>7.6666666666666661</v>
      </c>
      <c r="H37" s="17"/>
      <c r="I37" s="142">
        <f>(I11-I12)+I14+I16+I17</f>
        <v>8.5166666666666657</v>
      </c>
      <c r="J37" s="17"/>
      <c r="K37" s="142">
        <f>(K11-K12)+K14+K16+K17</f>
        <v>7.6666666666666661</v>
      </c>
      <c r="L37" s="17"/>
      <c r="M37" s="142">
        <f>(M11-M12)+M14+M16+M17</f>
        <v>8.2166666666666668</v>
      </c>
      <c r="N37" s="16"/>
      <c r="O37" s="2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8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22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8" ht="4.5" customHeight="1" x14ac:dyDescent="0.2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9"/>
      <c r="O39" s="14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</row>
    <row r="40" spans="1:28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2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8" ht="4.5" customHeight="1" x14ac:dyDescent="0.2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9"/>
      <c r="O41" s="145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</row>
    <row r="42" spans="1:28" ht="15.75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8" ht="15.75" x14ac:dyDescent="0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8" ht="4.5" customHeight="1" x14ac:dyDescent="0.2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9"/>
      <c r="O44" s="145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</row>
    <row r="45" spans="1:28" s="24" customFormat="1" ht="4.5" customHeight="1" x14ac:dyDescent="0.25"/>
    <row r="46" spans="1:28" ht="21" x14ac:dyDescent="0.2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8" s="24" customFormat="1" ht="4.5" customHeight="1" x14ac:dyDescent="0.25"/>
  </sheetData>
  <sheetProtection selectLockedCells="1" selectUnlockedCells="1"/>
  <mergeCells count="40">
    <mergeCell ref="P35:Q35"/>
    <mergeCell ref="R35:S35"/>
    <mergeCell ref="T35:U35"/>
    <mergeCell ref="V35:W35"/>
    <mergeCell ref="X35:Y35"/>
    <mergeCell ref="Z35:AA35"/>
    <mergeCell ref="R6:S6"/>
    <mergeCell ref="T6:U6"/>
    <mergeCell ref="V6:W6"/>
    <mergeCell ref="X6:Y6"/>
    <mergeCell ref="Z6:AA6"/>
    <mergeCell ref="P11:Q11"/>
    <mergeCell ref="P5:Q5"/>
    <mergeCell ref="R5:S5"/>
    <mergeCell ref="T5:U5"/>
    <mergeCell ref="V5:W5"/>
    <mergeCell ref="X5:Y5"/>
    <mergeCell ref="Z5:AA5"/>
    <mergeCell ref="B5:C5"/>
    <mergeCell ref="D5:E5"/>
    <mergeCell ref="F5:G5"/>
    <mergeCell ref="H5:I5"/>
    <mergeCell ref="J5:K5"/>
    <mergeCell ref="L5:M5"/>
    <mergeCell ref="P4:Q4"/>
    <mergeCell ref="R4:S4"/>
    <mergeCell ref="T4:U4"/>
    <mergeCell ref="V4:W4"/>
    <mergeCell ref="X4:Y4"/>
    <mergeCell ref="Z4:AA4"/>
    <mergeCell ref="A1:AA1"/>
    <mergeCell ref="A2:AA2"/>
    <mergeCell ref="A3:M3"/>
    <mergeCell ref="O3:AA3"/>
    <mergeCell ref="B4:C4"/>
    <mergeCell ref="D4:E4"/>
    <mergeCell ref="F4:G4"/>
    <mergeCell ref="H4:I4"/>
    <mergeCell ref="J4:K4"/>
    <mergeCell ref="L4:M4"/>
  </mergeCells>
  <hyperlinks>
    <hyperlink ref="O36" location="ACCUEIL!A1" display="RETOUR PAGE ACCUEIL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zoomScale="90" zoomScaleNormal="90" workbookViewId="0">
      <selection activeCell="AG32" sqref="AG32"/>
    </sheetView>
  </sheetViews>
  <sheetFormatPr baseColWidth="10" defaultRowHeight="15" x14ac:dyDescent="0.25"/>
  <cols>
    <col min="1" max="1" width="30.5703125" customWidth="1"/>
    <col min="2" max="2" width="4.85546875" customWidth="1"/>
    <col min="3" max="3" width="6.7109375" customWidth="1"/>
    <col min="4" max="4" width="4.85546875" customWidth="1"/>
    <col min="5" max="5" width="6.7109375" customWidth="1"/>
    <col min="6" max="6" width="4.85546875" customWidth="1"/>
    <col min="7" max="7" width="6.7109375" customWidth="1"/>
    <col min="8" max="8" width="4.85546875" customWidth="1"/>
    <col min="9" max="9" width="6.7109375" customWidth="1"/>
    <col min="10" max="10" width="4.85546875" customWidth="1"/>
    <col min="11" max="11" width="6.7109375" customWidth="1"/>
    <col min="12" max="12" width="4.85546875" customWidth="1"/>
    <col min="13" max="13" width="6.7109375" customWidth="1"/>
    <col min="14" max="14" width="4.85546875" customWidth="1"/>
    <col min="15" max="15" width="6.7109375" customWidth="1"/>
    <col min="16" max="16" width="1" customWidth="1"/>
    <col min="17" max="17" width="32" customWidth="1"/>
    <col min="18" max="18" width="4.85546875" customWidth="1"/>
    <col min="19" max="19" width="6.7109375" customWidth="1"/>
    <col min="20" max="20" width="4.85546875" customWidth="1"/>
    <col min="21" max="21" width="6.7109375" customWidth="1"/>
    <col min="22" max="22" width="4.85546875" customWidth="1"/>
    <col min="23" max="23" width="6.7109375" customWidth="1"/>
    <col min="24" max="24" width="4.85546875" customWidth="1"/>
    <col min="25" max="25" width="6.7109375" customWidth="1"/>
    <col min="26" max="26" width="4.85546875" customWidth="1"/>
    <col min="27" max="27" width="6.7109375" customWidth="1"/>
    <col min="28" max="28" width="4.85546875" customWidth="1"/>
    <col min="29" max="29" width="6.7109375" customWidth="1"/>
    <col min="30" max="30" width="4.85546875" customWidth="1"/>
    <col min="31" max="31" width="6.7109375" customWidth="1"/>
    <col min="32" max="32" width="1" customWidth="1"/>
  </cols>
  <sheetData>
    <row r="1" spans="1:31" ht="22.5" customHeight="1" x14ac:dyDescent="0.25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1" ht="12.75" customHeight="1" x14ac:dyDescent="0.25">
      <c r="A2" s="184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1:31" ht="18.75" customHeight="1" x14ac:dyDescent="0.25">
      <c r="A3" s="185" t="s">
        <v>101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47"/>
      <c r="O3" s="147"/>
      <c r="P3" s="148"/>
      <c r="Q3" s="186" t="s">
        <v>102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15" customHeight="1" x14ac:dyDescent="0.25">
      <c r="B4" s="176" t="s">
        <v>47</v>
      </c>
      <c r="C4" s="176"/>
      <c r="D4" s="176" t="s">
        <v>48</v>
      </c>
      <c r="E4" s="176"/>
      <c r="F4" s="176" t="s">
        <v>49</v>
      </c>
      <c r="G4" s="176"/>
      <c r="H4" s="176" t="s">
        <v>50</v>
      </c>
      <c r="I4" s="176"/>
      <c r="J4" s="176" t="s">
        <v>51</v>
      </c>
      <c r="K4" s="176"/>
      <c r="L4" s="176" t="s">
        <v>52</v>
      </c>
      <c r="M4" s="176" t="s">
        <v>103</v>
      </c>
      <c r="N4" s="176" t="s">
        <v>103</v>
      </c>
      <c r="O4" s="176"/>
      <c r="P4" s="30"/>
      <c r="Q4" s="29"/>
      <c r="R4" s="176" t="s">
        <v>47</v>
      </c>
      <c r="S4" s="176"/>
      <c r="T4" s="176" t="s">
        <v>48</v>
      </c>
      <c r="U4" s="176"/>
      <c r="V4" s="176" t="s">
        <v>49</v>
      </c>
      <c r="W4" s="176"/>
      <c r="X4" s="176" t="s">
        <v>50</v>
      </c>
      <c r="Y4" s="176"/>
      <c r="Z4" s="176" t="s">
        <v>51</v>
      </c>
      <c r="AA4" s="176"/>
      <c r="AB4" s="176" t="s">
        <v>52</v>
      </c>
      <c r="AC4" s="176"/>
      <c r="AD4" s="176" t="s">
        <v>103</v>
      </c>
      <c r="AE4" s="176"/>
    </row>
    <row r="5" spans="1:31" ht="19.5" customHeight="1" x14ac:dyDescent="0.3">
      <c r="A5" s="35"/>
      <c r="B5" s="177" t="s">
        <v>54</v>
      </c>
      <c r="C5" s="177"/>
      <c r="D5" s="178" t="s">
        <v>55</v>
      </c>
      <c r="E5" s="178"/>
      <c r="F5" s="178" t="s">
        <v>55</v>
      </c>
      <c r="G5" s="178"/>
      <c r="H5" s="187" t="s">
        <v>104</v>
      </c>
      <c r="I5" s="187"/>
      <c r="J5" s="178" t="s">
        <v>55</v>
      </c>
      <c r="K5" s="178"/>
      <c r="L5" s="178" t="s">
        <v>55</v>
      </c>
      <c r="M5" s="178"/>
      <c r="N5" s="177" t="s">
        <v>105</v>
      </c>
      <c r="O5" s="177"/>
      <c r="P5" s="30"/>
      <c r="Q5" s="33"/>
      <c r="R5" s="177" t="s">
        <v>106</v>
      </c>
      <c r="S5" s="177"/>
      <c r="T5" s="178" t="s">
        <v>55</v>
      </c>
      <c r="U5" s="178"/>
      <c r="V5" s="178" t="s">
        <v>55</v>
      </c>
      <c r="W5" s="178"/>
      <c r="X5" s="177" t="s">
        <v>107</v>
      </c>
      <c r="Y5" s="177"/>
      <c r="Z5" s="178" t="s">
        <v>55</v>
      </c>
      <c r="AA5" s="178"/>
      <c r="AB5" s="178" t="s">
        <v>55</v>
      </c>
      <c r="AC5" s="178"/>
      <c r="AD5" s="177" t="s">
        <v>105</v>
      </c>
      <c r="AE5" s="177"/>
    </row>
    <row r="6" spans="1:31" ht="12.75" customHeight="1" x14ac:dyDescent="0.3">
      <c r="A6" s="35"/>
      <c r="B6" s="36"/>
      <c r="C6" s="36"/>
      <c r="D6" s="37"/>
      <c r="E6" s="37"/>
      <c r="F6" s="37"/>
      <c r="G6" s="37"/>
      <c r="H6" s="36"/>
      <c r="I6" s="36"/>
      <c r="J6" s="37"/>
      <c r="K6" s="37"/>
      <c r="L6" s="37"/>
      <c r="M6" s="37"/>
      <c r="N6" s="37"/>
      <c r="O6" s="37"/>
      <c r="P6" s="30"/>
      <c r="Q6" s="33"/>
      <c r="R6" s="38"/>
      <c r="S6" s="38"/>
      <c r="T6" s="188" t="str">
        <f>IF(R35&gt;60,"Ok","Alerte")</f>
        <v>Ok</v>
      </c>
      <c r="U6" s="188"/>
      <c r="V6" s="188" t="str">
        <f>IF(T35&gt;60,"Ok","Alerte")</f>
        <v>Ok</v>
      </c>
      <c r="W6" s="188"/>
      <c r="X6" s="188" t="str">
        <f>IF(V35&gt;60,"Ok","Alerte")</f>
        <v>Alerte</v>
      </c>
      <c r="Y6" s="188"/>
      <c r="Z6" s="188" t="str">
        <f>IF(X35&gt;60,"Ok","Alerte")</f>
        <v>Ok</v>
      </c>
      <c r="AA6" s="188"/>
      <c r="AB6" s="188" t="str">
        <f>IF(Z35&gt;60,"Ok","Alerte")</f>
        <v>Ok</v>
      </c>
      <c r="AC6" s="188"/>
      <c r="AD6" s="188" t="str">
        <f>IF(AB35&gt;60,"Ok","Alerte")</f>
        <v>Ok</v>
      </c>
      <c r="AE6" s="188"/>
    </row>
    <row r="7" spans="1:31" ht="12.75" customHeight="1" x14ac:dyDescent="0.3">
      <c r="A7" s="39" t="s">
        <v>58</v>
      </c>
      <c r="B7" s="40" t="s">
        <v>59</v>
      </c>
      <c r="C7" s="41" t="s">
        <v>60</v>
      </c>
      <c r="D7" s="40" t="s">
        <v>59</v>
      </c>
      <c r="E7" s="41" t="s">
        <v>60</v>
      </c>
      <c r="F7" s="40" t="s">
        <v>59</v>
      </c>
      <c r="G7" s="41" t="s">
        <v>60</v>
      </c>
      <c r="H7" s="40" t="s">
        <v>59</v>
      </c>
      <c r="I7" s="41" t="s">
        <v>60</v>
      </c>
      <c r="J7" s="40" t="s">
        <v>59</v>
      </c>
      <c r="K7" s="41" t="s">
        <v>60</v>
      </c>
      <c r="L7" s="40" t="s">
        <v>59</v>
      </c>
      <c r="M7" s="41" t="s">
        <v>60</v>
      </c>
      <c r="N7" s="40" t="s">
        <v>59</v>
      </c>
      <c r="O7" s="41" t="s">
        <v>60</v>
      </c>
      <c r="P7" s="42"/>
      <c r="Q7" s="43"/>
      <c r="R7" s="40" t="s">
        <v>59</v>
      </c>
      <c r="S7" s="41" t="s">
        <v>60</v>
      </c>
      <c r="T7" s="40" t="s">
        <v>59</v>
      </c>
      <c r="U7" s="41" t="s">
        <v>60</v>
      </c>
      <c r="V7" s="40" t="s">
        <v>59</v>
      </c>
      <c r="W7" s="41" t="s">
        <v>60</v>
      </c>
      <c r="X7" s="40" t="s">
        <v>59</v>
      </c>
      <c r="Y7" s="41" t="s">
        <v>60</v>
      </c>
      <c r="Z7" s="40" t="s">
        <v>59</v>
      </c>
      <c r="AA7" s="41" t="s">
        <v>60</v>
      </c>
      <c r="AB7" s="40" t="s">
        <v>59</v>
      </c>
      <c r="AC7" s="41" t="s">
        <v>60</v>
      </c>
      <c r="AD7" s="40" t="s">
        <v>59</v>
      </c>
      <c r="AE7" s="44" t="s">
        <v>60</v>
      </c>
    </row>
    <row r="8" spans="1:31" ht="6" customHeight="1" x14ac:dyDescent="0.3">
      <c r="B8" s="42"/>
      <c r="D8" s="42"/>
      <c r="F8" s="42"/>
      <c r="H8" s="42"/>
      <c r="J8" s="42"/>
      <c r="L8" s="42"/>
      <c r="N8" s="42"/>
      <c r="P8" s="42"/>
      <c r="Q8" s="43"/>
      <c r="R8" s="42"/>
      <c r="T8" s="42"/>
      <c r="V8" s="42"/>
      <c r="X8" s="42"/>
      <c r="Z8" s="42"/>
      <c r="AB8" s="42"/>
      <c r="AD8" s="42"/>
      <c r="AE8" s="45"/>
    </row>
    <row r="9" spans="1:31" ht="12.75" customHeight="1" x14ac:dyDescent="0.25">
      <c r="A9" s="46" t="s">
        <v>108</v>
      </c>
      <c r="B9" s="51">
        <v>12</v>
      </c>
      <c r="C9" s="48">
        <f>CONSOMMATEURS!A6*B9</f>
        <v>0.01</v>
      </c>
      <c r="D9" s="51">
        <v>24</v>
      </c>
      <c r="E9" s="48">
        <f>CONSOMMATEURS!A6*D9</f>
        <v>0.02</v>
      </c>
      <c r="F9" s="51">
        <v>20</v>
      </c>
      <c r="G9" s="48">
        <f>E9</f>
        <v>0.02</v>
      </c>
      <c r="H9" s="51">
        <v>24</v>
      </c>
      <c r="I9" s="48">
        <f>E9</f>
        <v>0.02</v>
      </c>
      <c r="J9" s="51">
        <v>24</v>
      </c>
      <c r="K9" s="48">
        <f>E9</f>
        <v>0.02</v>
      </c>
      <c r="L9" s="51">
        <v>24</v>
      </c>
      <c r="M9" s="48">
        <f>E9</f>
        <v>0.02</v>
      </c>
      <c r="N9" s="51">
        <v>9</v>
      </c>
      <c r="O9" s="48">
        <f>G9</f>
        <v>0.02</v>
      </c>
      <c r="P9" s="42"/>
      <c r="Q9" s="50" t="s">
        <v>62</v>
      </c>
      <c r="R9" s="51">
        <v>0</v>
      </c>
      <c r="S9" s="52">
        <v>0</v>
      </c>
      <c r="T9" s="53"/>
      <c r="U9" s="54">
        <f>R35</f>
        <v>115.96916666666665</v>
      </c>
      <c r="V9" s="55"/>
      <c r="W9" s="55">
        <f>T35</f>
        <v>81.484015151515138</v>
      </c>
      <c r="X9" s="53"/>
      <c r="Y9" s="55">
        <f>V35</f>
        <v>48.514015151515139</v>
      </c>
      <c r="Z9" s="53"/>
      <c r="AA9" s="55">
        <f>X35</f>
        <v>136.29249999999999</v>
      </c>
      <c r="AB9" s="53"/>
      <c r="AC9" s="55">
        <f>Z35</f>
        <v>133.32249999999999</v>
      </c>
      <c r="AD9" s="53"/>
      <c r="AE9" s="54">
        <f>AB35</f>
        <v>88.685833333333321</v>
      </c>
    </row>
    <row r="10" spans="1:31" ht="6.75" customHeight="1" x14ac:dyDescent="0.3">
      <c r="B10" s="56"/>
      <c r="D10" s="56"/>
      <c r="F10" s="56"/>
      <c r="H10" s="56"/>
      <c r="J10" s="56"/>
      <c r="L10" s="56"/>
      <c r="N10" s="42"/>
      <c r="P10" s="42"/>
      <c r="Q10" s="43"/>
      <c r="R10" s="56"/>
      <c r="T10" s="42"/>
      <c r="V10" s="42"/>
      <c r="W10" s="149"/>
      <c r="X10" s="42"/>
      <c r="Z10" s="42"/>
      <c r="AB10" s="42"/>
      <c r="AD10" s="42"/>
      <c r="AE10" s="45"/>
    </row>
    <row r="11" spans="1:31" ht="12.75" customHeight="1" x14ac:dyDescent="0.25">
      <c r="A11" s="107" t="s">
        <v>109</v>
      </c>
      <c r="B11" s="123">
        <v>2</v>
      </c>
      <c r="C11" s="17">
        <f>CONSOMMATEURS!$A$11*B11</f>
        <v>5</v>
      </c>
      <c r="D11" s="119">
        <v>2</v>
      </c>
      <c r="E11" s="17">
        <f>CONSOMMATEURS!$A$11*D11</f>
        <v>5</v>
      </c>
      <c r="F11" s="119">
        <v>2</v>
      </c>
      <c r="G11" s="17">
        <f>CONSOMMATEURS!$A$11*F11</f>
        <v>5</v>
      </c>
      <c r="H11" s="119">
        <v>2</v>
      </c>
      <c r="I11" s="17">
        <f>CONSOMMATEURS!$A$11*H11</f>
        <v>5</v>
      </c>
      <c r="J11" s="119">
        <v>2</v>
      </c>
      <c r="K11" s="17">
        <f>CONSOMMATEURS!$A$11*J11</f>
        <v>5</v>
      </c>
      <c r="L11" s="119">
        <v>4</v>
      </c>
      <c r="M11" s="17">
        <f>CONSOMMATEURS!$A$11*L11</f>
        <v>10</v>
      </c>
      <c r="N11" s="119">
        <v>0.5</v>
      </c>
      <c r="O11" s="17">
        <f>CONSOMMATEURS!$A$11*N11</f>
        <v>1.25</v>
      </c>
      <c r="P11" s="42"/>
      <c r="Q11" s="150"/>
      <c r="R11" s="65"/>
      <c r="S11" s="65"/>
      <c r="T11" s="64"/>
      <c r="U11" s="55"/>
      <c r="V11" s="64"/>
      <c r="W11" s="55"/>
      <c r="X11" s="64"/>
      <c r="Y11" s="55"/>
      <c r="Z11" s="64"/>
      <c r="AA11" s="55"/>
      <c r="AB11" s="64"/>
      <c r="AC11" s="55"/>
      <c r="AD11" s="64"/>
      <c r="AE11" s="54"/>
    </row>
    <row r="12" spans="1:31" ht="6" customHeight="1" x14ac:dyDescent="0.3">
      <c r="B12" s="56"/>
      <c r="C12">
        <v>1</v>
      </c>
      <c r="D12" s="119"/>
      <c r="F12" s="119"/>
      <c r="H12" s="119"/>
      <c r="J12" s="119"/>
      <c r="L12" s="119"/>
      <c r="N12" s="42"/>
      <c r="P12" s="42"/>
      <c r="Q12" s="43"/>
      <c r="R12" s="56"/>
      <c r="T12" s="75"/>
      <c r="V12" s="75"/>
      <c r="X12" s="75"/>
      <c r="Z12" s="75"/>
      <c r="AB12" s="75"/>
      <c r="AD12" s="75"/>
      <c r="AE12" s="45"/>
    </row>
    <row r="13" spans="1:31" ht="12.75" customHeight="1" x14ac:dyDescent="0.25">
      <c r="A13" s="107" t="s">
        <v>66</v>
      </c>
      <c r="B13" s="119">
        <v>1.5</v>
      </c>
      <c r="C13" s="17">
        <f>CONSOMMATEURS!$A$19*B13</f>
        <v>7.5</v>
      </c>
      <c r="D13" s="119">
        <v>3</v>
      </c>
      <c r="E13" s="17">
        <f>CONSOMMATEURS!$A$19*D13</f>
        <v>15</v>
      </c>
      <c r="F13" s="119">
        <v>4</v>
      </c>
      <c r="G13" s="17">
        <f>CONSOMMATEURS!$A$19*F13</f>
        <v>20</v>
      </c>
      <c r="H13" s="119">
        <v>1.5</v>
      </c>
      <c r="I13" s="17">
        <f>CONSOMMATEURS!$A$19*H13</f>
        <v>7.5</v>
      </c>
      <c r="J13" s="119">
        <v>0</v>
      </c>
      <c r="K13" s="17">
        <f>CONSOMMATEURS!$A$19*J13</f>
        <v>0</v>
      </c>
      <c r="L13" s="119">
        <v>4</v>
      </c>
      <c r="M13" s="17">
        <f>CONSOMMATEURS!$A$19*L13</f>
        <v>20</v>
      </c>
      <c r="N13" s="119">
        <v>1</v>
      </c>
      <c r="O13" s="17">
        <f>CONSOMMATEURS!$A$19*N13</f>
        <v>5</v>
      </c>
      <c r="P13" s="42"/>
      <c r="Q13" s="77" t="s">
        <v>110</v>
      </c>
      <c r="R13" s="151">
        <v>2</v>
      </c>
      <c r="S13" s="79">
        <f>PRODUCTEURS!$E$7*R13*90/100</f>
        <v>153</v>
      </c>
      <c r="T13" s="64"/>
      <c r="U13" s="55"/>
      <c r="V13" s="64"/>
      <c r="W13" s="55"/>
      <c r="X13" s="64"/>
      <c r="Y13" s="55"/>
      <c r="Z13" s="64"/>
      <c r="AA13" s="55"/>
      <c r="AB13" s="64"/>
      <c r="AC13" s="55"/>
      <c r="AD13" s="64"/>
      <c r="AE13" s="54"/>
    </row>
    <row r="14" spans="1:31" ht="12.75" customHeight="1" x14ac:dyDescent="0.25">
      <c r="A14" s="107" t="s">
        <v>68</v>
      </c>
      <c r="B14" s="152">
        <f>B9-B13</f>
        <v>10.5</v>
      </c>
      <c r="C14" s="17">
        <f>CONSOMMATEURS!$A$20*B14</f>
        <v>0.875</v>
      </c>
      <c r="D14" s="152">
        <f>D9-D13</f>
        <v>21</v>
      </c>
      <c r="E14" s="17">
        <f>CONSOMMATEURS!$A$20*D14</f>
        <v>1.75</v>
      </c>
      <c r="F14" s="152">
        <f>F9-F13</f>
        <v>16</v>
      </c>
      <c r="G14" s="17">
        <f>CONSOMMATEURS!$A$20*F14</f>
        <v>1.3333333333333333</v>
      </c>
      <c r="H14" s="152">
        <f>H9-H13</f>
        <v>22.5</v>
      </c>
      <c r="I14" s="17">
        <f>CONSOMMATEURS!$A$20*H14</f>
        <v>1.875</v>
      </c>
      <c r="J14" s="152">
        <f>J9-J13</f>
        <v>24</v>
      </c>
      <c r="K14" s="17">
        <f>CONSOMMATEURS!$A$20*J14</f>
        <v>2</v>
      </c>
      <c r="L14" s="152">
        <f>L9-L13</f>
        <v>20</v>
      </c>
      <c r="M14" s="17">
        <f>CONSOMMATEURS!$A$20*L14</f>
        <v>1.6666666666666665</v>
      </c>
      <c r="N14" s="152">
        <f>N9-N13</f>
        <v>8</v>
      </c>
      <c r="O14" s="17">
        <f>CONSOMMATEURS!$A$20*N14</f>
        <v>0.66666666666666663</v>
      </c>
      <c r="P14" s="42"/>
      <c r="Q14" s="77"/>
      <c r="R14" s="83"/>
      <c r="S14" s="79"/>
      <c r="T14" s="64"/>
      <c r="U14" s="55"/>
      <c r="V14" s="64"/>
      <c r="W14" s="55"/>
      <c r="X14" s="64"/>
      <c r="Y14" s="55"/>
      <c r="Z14" s="64"/>
      <c r="AA14" s="55"/>
      <c r="AB14" s="64"/>
      <c r="AC14" s="55"/>
      <c r="AD14" s="64"/>
      <c r="AE14" s="54"/>
    </row>
    <row r="15" spans="1:31" ht="12.75" customHeight="1" x14ac:dyDescent="0.25">
      <c r="A15" s="107" t="s">
        <v>69</v>
      </c>
      <c r="B15" s="83">
        <f>B13</f>
        <v>1.5</v>
      </c>
      <c r="C15" s="17">
        <f>CONSOMMATEURS!$A$21*B13</f>
        <v>1.25</v>
      </c>
      <c r="D15" s="83">
        <f>D13</f>
        <v>3</v>
      </c>
      <c r="E15" s="17">
        <f>CONSOMMATEURS!$A$21*D13</f>
        <v>2.5</v>
      </c>
      <c r="F15" s="83">
        <f>F13</f>
        <v>4</v>
      </c>
      <c r="G15" s="17">
        <f>CONSOMMATEURS!$A$21*F13</f>
        <v>3.3333333333333335</v>
      </c>
      <c r="H15" s="83">
        <f>H13</f>
        <v>1.5</v>
      </c>
      <c r="I15" s="17">
        <f>CONSOMMATEURS!$A$21*H13</f>
        <v>1.25</v>
      </c>
      <c r="J15" s="83">
        <f>J13</f>
        <v>0</v>
      </c>
      <c r="K15" s="17">
        <f>CONSOMMATEURS!$A$21*J13</f>
        <v>0</v>
      </c>
      <c r="L15" s="83">
        <f>L13</f>
        <v>4</v>
      </c>
      <c r="M15" s="17">
        <f>CONSOMMATEURS!$A$21*L13</f>
        <v>3.3333333333333335</v>
      </c>
      <c r="N15" s="83">
        <f>N13</f>
        <v>1</v>
      </c>
      <c r="O15" s="17">
        <f>CONSOMMATEURS!$A$21*N13</f>
        <v>0.83333333333333337</v>
      </c>
      <c r="P15" s="42"/>
      <c r="Q15" s="88" t="s">
        <v>70</v>
      </c>
      <c r="R15" s="117">
        <v>1</v>
      </c>
      <c r="S15" s="17">
        <f>PRODUCTEURS!$A$14*R15</f>
        <v>6.6666666666666679</v>
      </c>
      <c r="T15" s="81">
        <v>2</v>
      </c>
      <c r="U15" s="17">
        <f>PRODUCTEURS!$A$14*T15</f>
        <v>13.333333333333336</v>
      </c>
      <c r="V15" s="81">
        <v>3</v>
      </c>
      <c r="W15" s="17">
        <f>PRODUCTEURS!$A$14*V15</f>
        <v>20.000000000000004</v>
      </c>
      <c r="X15" s="81">
        <v>1</v>
      </c>
      <c r="Y15" s="17">
        <f>PRODUCTEURS!$A$14*X15</f>
        <v>6.6666666666666679</v>
      </c>
      <c r="Z15" s="81">
        <v>4</v>
      </c>
      <c r="AA15" s="17">
        <f>PRODUCTEURS!$A$14*Z15</f>
        <v>26.666666666666671</v>
      </c>
      <c r="AB15" s="81">
        <v>2</v>
      </c>
      <c r="AC15" s="17">
        <f>PRODUCTEURS!$A$14*AB15</f>
        <v>13.333333333333336</v>
      </c>
      <c r="AD15" s="153"/>
      <c r="AE15" s="101"/>
    </row>
    <row r="16" spans="1:31" ht="12.75" customHeight="1" x14ac:dyDescent="0.25">
      <c r="A16" s="107" t="s">
        <v>71</v>
      </c>
      <c r="B16" s="83">
        <f>B14</f>
        <v>10.5</v>
      </c>
      <c r="C16" s="17">
        <f>CONSOMMATEURS!$A$22*B16</f>
        <v>0.875</v>
      </c>
      <c r="D16" s="83">
        <f>D14</f>
        <v>21</v>
      </c>
      <c r="E16" s="17">
        <f>CONSOMMATEURS!$A$22*D16</f>
        <v>1.75</v>
      </c>
      <c r="F16" s="83">
        <f>F14</f>
        <v>16</v>
      </c>
      <c r="G16" s="17">
        <f>CONSOMMATEURS!$A$22*F16</f>
        <v>1.3333333333333333</v>
      </c>
      <c r="H16" s="83">
        <f>H14</f>
        <v>22.5</v>
      </c>
      <c r="I16" s="17">
        <f>CONSOMMATEURS!$A$22*H16</f>
        <v>1.875</v>
      </c>
      <c r="J16" s="83">
        <f>J14</f>
        <v>24</v>
      </c>
      <c r="K16" s="17">
        <f>CONSOMMATEURS!$A$22*J16</f>
        <v>2</v>
      </c>
      <c r="L16" s="83">
        <f>L14</f>
        <v>20</v>
      </c>
      <c r="M16" s="17">
        <f>CONSOMMATEURS!$A$22*L16</f>
        <v>1.6666666666666665</v>
      </c>
      <c r="N16" s="83">
        <f>N14</f>
        <v>8</v>
      </c>
      <c r="O16" s="17">
        <f>CONSOMMATEURS!$A$22*N16</f>
        <v>0.66666666666666663</v>
      </c>
      <c r="P16" s="42"/>
      <c r="Q16" s="88"/>
      <c r="R16" s="81"/>
      <c r="S16" s="17"/>
      <c r="T16" s="81"/>
      <c r="U16" s="17"/>
      <c r="V16" s="81"/>
      <c r="W16" s="17"/>
      <c r="X16" s="81"/>
      <c r="Y16" s="17"/>
      <c r="Z16" s="81"/>
      <c r="AA16" s="17"/>
      <c r="AB16" s="81"/>
      <c r="AC16" s="17"/>
      <c r="AD16" s="153"/>
      <c r="AE16" s="101"/>
    </row>
    <row r="17" spans="1:31" ht="12.75" customHeight="1" x14ac:dyDescent="0.25">
      <c r="A17" s="107" t="s">
        <v>72</v>
      </c>
      <c r="B17" s="123">
        <v>1</v>
      </c>
      <c r="C17" s="16">
        <f>CONSOMMATEURS!$A$18*B17*0.15</f>
        <v>0.3</v>
      </c>
      <c r="D17" s="154">
        <v>0</v>
      </c>
      <c r="E17" s="16">
        <f>CONSOMMATEURS!$A$18*D17*0.15</f>
        <v>0</v>
      </c>
      <c r="F17" s="154">
        <v>0</v>
      </c>
      <c r="G17" s="16">
        <f>CONSOMMATEURS!$A$18*F17*0.15</f>
        <v>0</v>
      </c>
      <c r="H17" s="155">
        <v>2</v>
      </c>
      <c r="I17" s="16">
        <f>CONSOMMATEURS!$A$18*H17*0.15</f>
        <v>0.6</v>
      </c>
      <c r="J17" s="154">
        <v>0</v>
      </c>
      <c r="K17" s="16">
        <f>CONSOMMATEURS!$A$18*J17*0.15</f>
        <v>0</v>
      </c>
      <c r="L17" s="154">
        <v>0</v>
      </c>
      <c r="M17" s="16">
        <f>CONSOMMATEURS!$A$18*L17*0.15</f>
        <v>0</v>
      </c>
      <c r="N17" s="154">
        <v>0</v>
      </c>
      <c r="O17" s="16">
        <f>CONSOMMATEURS!$A$18*N17*0.15</f>
        <v>0</v>
      </c>
      <c r="P17" s="42"/>
      <c r="Q17" s="88" t="s">
        <v>73</v>
      </c>
      <c r="R17" s="83">
        <v>0</v>
      </c>
      <c r="S17" s="92">
        <f>PRODUCTEURS!$E$14*R17</f>
        <v>0</v>
      </c>
      <c r="T17" s="83">
        <f>R17</f>
        <v>0</v>
      </c>
      <c r="U17" s="92">
        <f>PRODUCTEURS!$E$14*T17</f>
        <v>0</v>
      </c>
      <c r="V17" s="83">
        <f>R17</f>
        <v>0</v>
      </c>
      <c r="W17" s="92">
        <f>PRODUCTEURS!$E$14*V17</f>
        <v>0</v>
      </c>
      <c r="X17" s="83">
        <f>V17</f>
        <v>0</v>
      </c>
      <c r="Y17" s="92">
        <f>PRODUCTEURS!$E$14*X17</f>
        <v>0</v>
      </c>
      <c r="Z17" s="83">
        <f>X17</f>
        <v>0</v>
      </c>
      <c r="AA17" s="92">
        <f>PRODUCTEURS!$E$14*Z17</f>
        <v>0</v>
      </c>
      <c r="AB17" s="83">
        <f>Z17</f>
        <v>0</v>
      </c>
      <c r="AC17" s="92">
        <f>PRODUCTEURS!$E$14*AB17</f>
        <v>0</v>
      </c>
      <c r="AD17" s="156"/>
      <c r="AE17" s="157"/>
    </row>
    <row r="18" spans="1:31" ht="6" customHeight="1" x14ac:dyDescent="0.3">
      <c r="B18" s="56"/>
      <c r="D18" s="119"/>
      <c r="F18" s="119"/>
      <c r="H18" s="119"/>
      <c r="J18" s="119"/>
      <c r="L18" s="119"/>
      <c r="N18" s="42"/>
      <c r="P18" s="42"/>
      <c r="Q18" s="43"/>
      <c r="R18" s="56"/>
      <c r="T18" s="81"/>
      <c r="V18" s="58"/>
      <c r="X18" s="58"/>
      <c r="Z18" s="81"/>
      <c r="AB18" s="58"/>
      <c r="AD18" s="158"/>
      <c r="AE18" s="45"/>
    </row>
    <row r="19" spans="1:31" ht="12.75" customHeight="1" x14ac:dyDescent="0.3">
      <c r="A19" s="107" t="s">
        <v>111</v>
      </c>
      <c r="B19" s="123">
        <v>1</v>
      </c>
      <c r="C19" s="17">
        <f>CONSOMMATEURS!$A$15*B19</f>
        <v>5</v>
      </c>
      <c r="D19" s="123">
        <v>0</v>
      </c>
      <c r="E19" s="17">
        <f>CONSOMMATEURS!$A$15*D19</f>
        <v>0</v>
      </c>
      <c r="F19" s="123">
        <f>D19</f>
        <v>0</v>
      </c>
      <c r="G19" s="17">
        <f>CONSOMMATEURS!$A$15*F19</f>
        <v>0</v>
      </c>
      <c r="H19" s="123">
        <f>B19</f>
        <v>1</v>
      </c>
      <c r="I19" s="17">
        <f>CONSOMMATEURS!$A$15*H19</f>
        <v>5</v>
      </c>
      <c r="J19" s="123">
        <v>0</v>
      </c>
      <c r="K19" s="17">
        <f>CONSOMMATEURS!$A$15*J19</f>
        <v>0</v>
      </c>
      <c r="L19" s="123">
        <v>1</v>
      </c>
      <c r="M19" s="17">
        <f>CONSOMMATEURS!$A$15*L19</f>
        <v>5</v>
      </c>
      <c r="N19" s="123">
        <v>0</v>
      </c>
      <c r="O19" s="17">
        <f>CONSOMMATEURS!$A$15*N19</f>
        <v>0</v>
      </c>
      <c r="P19" s="42"/>
      <c r="Q19" s="88" t="s">
        <v>75</v>
      </c>
      <c r="R19" s="81">
        <v>0</v>
      </c>
      <c r="S19" s="17">
        <f>PRODUCTEURS!$A$9*R19</f>
        <v>0</v>
      </c>
      <c r="T19" s="81">
        <v>0</v>
      </c>
      <c r="U19" s="17">
        <f>PRODUCTEURS!$A$9*T19</f>
        <v>0</v>
      </c>
      <c r="V19" s="81">
        <v>0</v>
      </c>
      <c r="W19" s="17">
        <f>PRODUCTEURS!$A$9*V19</f>
        <v>0</v>
      </c>
      <c r="X19" s="81">
        <v>0</v>
      </c>
      <c r="Y19" s="17">
        <f>PRODUCTEURS!$A$9*X19</f>
        <v>0</v>
      </c>
      <c r="Z19" s="81">
        <v>0</v>
      </c>
      <c r="AA19" s="17">
        <f>PRODUCTEURS!$A$9*Z19</f>
        <v>0</v>
      </c>
      <c r="AB19" s="81">
        <v>0</v>
      </c>
      <c r="AC19" s="17">
        <f>PRODUCTEURS!$A$9*AB19</f>
        <v>0</v>
      </c>
      <c r="AD19" s="153"/>
      <c r="AE19" s="101"/>
    </row>
    <row r="20" spans="1:31" ht="12.75" customHeight="1" x14ac:dyDescent="0.25">
      <c r="A20" s="107" t="s">
        <v>76</v>
      </c>
      <c r="B20" s="83">
        <v>1</v>
      </c>
      <c r="C20" s="16">
        <f>CONSOMMATEURS!$E$14*B20</f>
        <v>0.39999999999999997</v>
      </c>
      <c r="D20" s="83">
        <v>1</v>
      </c>
      <c r="E20" s="16">
        <f>CONSOMMATEURS!$E$14*D20</f>
        <v>0.39999999999999997</v>
      </c>
      <c r="F20" s="83">
        <v>1</v>
      </c>
      <c r="G20" s="16">
        <f>CONSOMMATEURS!$E$14*F20</f>
        <v>0.39999999999999997</v>
      </c>
      <c r="H20" s="83">
        <v>1</v>
      </c>
      <c r="I20" s="16">
        <f>CONSOMMATEURS!$E$14*H20</f>
        <v>0.39999999999999997</v>
      </c>
      <c r="J20" s="83">
        <v>1</v>
      </c>
      <c r="K20" s="16">
        <f>CONSOMMATEURS!$E$14*J20</f>
        <v>0.39999999999999997</v>
      </c>
      <c r="L20" s="83">
        <v>1</v>
      </c>
      <c r="M20" s="16">
        <f>CONSOMMATEURS!$E$14*L20</f>
        <v>0.39999999999999997</v>
      </c>
      <c r="N20" s="83">
        <v>1</v>
      </c>
      <c r="O20" s="16">
        <f>CONSOMMATEURS!$E$14*N20</f>
        <v>0.39999999999999997</v>
      </c>
      <c r="P20" s="42"/>
      <c r="Q20" s="88"/>
      <c r="R20" s="81"/>
      <c r="S20" s="17"/>
      <c r="T20" s="81"/>
      <c r="U20" s="17"/>
      <c r="V20" s="81"/>
      <c r="W20" s="17"/>
      <c r="X20" s="81"/>
      <c r="Y20" s="17"/>
      <c r="Z20" s="81"/>
      <c r="AA20" s="17"/>
      <c r="AB20" s="81"/>
      <c r="AC20" s="17"/>
      <c r="AD20" s="153"/>
      <c r="AE20" s="101"/>
    </row>
    <row r="21" spans="1:31" ht="6" customHeight="1" x14ac:dyDescent="0.3">
      <c r="B21" s="56"/>
      <c r="D21" s="119"/>
      <c r="F21" s="119"/>
      <c r="H21" s="119"/>
      <c r="J21" s="119"/>
      <c r="L21" s="119"/>
      <c r="N21" s="42"/>
      <c r="P21" s="42"/>
      <c r="Q21" s="43"/>
      <c r="R21" s="56"/>
      <c r="S21" s="159">
        <f>PRODUCTEURS!$A$11*(R22-0.5)</f>
        <v>-25</v>
      </c>
      <c r="T21" s="56"/>
      <c r="U21" s="159">
        <f>PRODUCTEURS!$A$11*(T22-0.5)</f>
        <v>-25</v>
      </c>
      <c r="V21" s="56"/>
      <c r="W21" s="159">
        <f>PRODUCTEURS!$A$11*(V22-0.5)</f>
        <v>-25</v>
      </c>
      <c r="X21" s="56"/>
      <c r="Y21" s="159">
        <f>PRODUCTEURS!$A$11*(X22-0.5)</f>
        <v>75</v>
      </c>
      <c r="Z21" s="56"/>
      <c r="AA21" s="159">
        <f>PRODUCTEURS!$A$11*(Z22-0.5)</f>
        <v>-25</v>
      </c>
      <c r="AB21" s="56"/>
      <c r="AC21" s="159">
        <f>PRODUCTEURS!$A$11*(AB22-0.5)</f>
        <v>-25</v>
      </c>
      <c r="AD21" s="42"/>
      <c r="AE21" s="159">
        <f>PRODUCTEURS!$A$11*(AD22-0.5)</f>
        <v>75</v>
      </c>
    </row>
    <row r="22" spans="1:31" ht="12.75" customHeight="1" x14ac:dyDescent="0.25">
      <c r="A22" s="107" t="s">
        <v>112</v>
      </c>
      <c r="B22" s="123">
        <v>1</v>
      </c>
      <c r="C22" s="160"/>
      <c r="D22" s="123">
        <v>2</v>
      </c>
      <c r="E22" s="160"/>
      <c r="F22" s="123">
        <v>2</v>
      </c>
      <c r="G22" s="160"/>
      <c r="H22" s="123">
        <v>1</v>
      </c>
      <c r="I22" s="160"/>
      <c r="J22" s="123">
        <v>2</v>
      </c>
      <c r="K22" s="160"/>
      <c r="L22" s="123">
        <v>2</v>
      </c>
      <c r="N22" s="42">
        <v>0.5</v>
      </c>
      <c r="P22" s="42"/>
      <c r="Q22" s="88" t="s">
        <v>80</v>
      </c>
      <c r="R22" s="83">
        <v>0</v>
      </c>
      <c r="S22" s="92">
        <f>IF(R22&gt;0,S21,0)</f>
        <v>0</v>
      </c>
      <c r="T22" s="83">
        <v>0</v>
      </c>
      <c r="U22" s="92">
        <f>IF(T22&gt;0,U21,0)</f>
        <v>0</v>
      </c>
      <c r="V22" s="83">
        <v>0</v>
      </c>
      <c r="W22" s="92">
        <f>IF(V22&gt;0,W21,0)</f>
        <v>0</v>
      </c>
      <c r="X22" s="98">
        <v>2</v>
      </c>
      <c r="Y22" s="92">
        <f>IF(X22&gt;0,Y21,0)</f>
        <v>75</v>
      </c>
      <c r="Z22" s="83">
        <v>0</v>
      </c>
      <c r="AA22" s="92">
        <f>IF(Z22&gt;0,AA21,0)</f>
        <v>0</v>
      </c>
      <c r="AB22" s="83">
        <v>0</v>
      </c>
      <c r="AC22" s="92">
        <f>IF(AB22&gt;0,AC21,0)</f>
        <v>0</v>
      </c>
      <c r="AD22" s="161">
        <v>2</v>
      </c>
      <c r="AE22" s="93">
        <f>IF(AD22&gt;0,AE21,0)</f>
        <v>75</v>
      </c>
    </row>
    <row r="23" spans="1:31" ht="12.75" customHeight="1" x14ac:dyDescent="0.3">
      <c r="A23" s="107" t="s">
        <v>81</v>
      </c>
      <c r="B23" s="121">
        <f>B22</f>
        <v>1</v>
      </c>
      <c r="C23" s="17">
        <f>CONSOMMATEURS!$A$8*B22/4</f>
        <v>0.625</v>
      </c>
      <c r="D23" s="121">
        <f>D22</f>
        <v>2</v>
      </c>
      <c r="E23" s="17">
        <f>CONSOMMATEURS!$A$8*D22/4</f>
        <v>1.25</v>
      </c>
      <c r="F23" s="121">
        <f>F22</f>
        <v>2</v>
      </c>
      <c r="G23" s="17">
        <f>CONSOMMATEURS!$A$8*F22/4</f>
        <v>1.25</v>
      </c>
      <c r="H23" s="121">
        <f>H22</f>
        <v>1</v>
      </c>
      <c r="I23" s="17">
        <f>CONSOMMATEURS!$A$8*H22/4</f>
        <v>0.625</v>
      </c>
      <c r="J23" s="121">
        <f>J22</f>
        <v>2</v>
      </c>
      <c r="K23" s="17">
        <f>CONSOMMATEURS!$A$8*J22/4</f>
        <v>1.25</v>
      </c>
      <c r="L23" s="121">
        <f>L22</f>
        <v>2</v>
      </c>
      <c r="M23" s="17">
        <f>CONSOMMATEURS!$A$8*L22/4</f>
        <v>1.25</v>
      </c>
      <c r="N23" s="121">
        <f>N22</f>
        <v>0.5</v>
      </c>
      <c r="O23" s="17">
        <f>CONSOMMATEURS!$A$8*N22/4</f>
        <v>0.3125</v>
      </c>
      <c r="P23" s="42"/>
      <c r="Q23" s="43"/>
      <c r="R23" s="58"/>
      <c r="S23" s="17"/>
      <c r="T23" s="58"/>
      <c r="U23" s="17"/>
      <c r="V23" s="58"/>
      <c r="W23" s="17"/>
      <c r="X23" s="58"/>
      <c r="Y23" s="17"/>
      <c r="Z23" s="58"/>
      <c r="AA23" s="17"/>
      <c r="AB23" s="58"/>
      <c r="AC23" s="17"/>
      <c r="AD23" s="158"/>
      <c r="AE23" s="101"/>
    </row>
    <row r="24" spans="1:31" ht="12.75" customHeight="1" x14ac:dyDescent="0.25">
      <c r="A24" s="107" t="s">
        <v>113</v>
      </c>
      <c r="B24" s="121">
        <f>B22</f>
        <v>1</v>
      </c>
      <c r="C24" s="17">
        <f>CONSOMMATEURS!$A$9*B22/4</f>
        <v>0.625</v>
      </c>
      <c r="D24" s="121">
        <f>D22</f>
        <v>2</v>
      </c>
      <c r="E24" s="17">
        <f>CONSOMMATEURS!$A$9*D22/4</f>
        <v>1.25</v>
      </c>
      <c r="F24" s="121">
        <f>F22</f>
        <v>2</v>
      </c>
      <c r="G24" s="17">
        <f>CONSOMMATEURS!$A$9*F22/4</f>
        <v>1.25</v>
      </c>
      <c r="H24" s="121">
        <f>H22</f>
        <v>1</v>
      </c>
      <c r="I24" s="17">
        <f>CONSOMMATEURS!$A$9*H22/4</f>
        <v>0.625</v>
      </c>
      <c r="J24" s="121">
        <f>J22</f>
        <v>2</v>
      </c>
      <c r="K24" s="17">
        <f>CONSOMMATEURS!$A$9*J22/4</f>
        <v>1.25</v>
      </c>
      <c r="L24" s="121">
        <f>L22</f>
        <v>2</v>
      </c>
      <c r="M24" s="17">
        <f>CONSOMMATEURS!$A$9*L22/4</f>
        <v>1.25</v>
      </c>
      <c r="N24" s="121">
        <f>N22</f>
        <v>0.5</v>
      </c>
      <c r="O24" s="17">
        <f>CONSOMMATEURS!$A$9*N22/4</f>
        <v>0.3125</v>
      </c>
      <c r="P24" s="42"/>
      <c r="Q24" s="88" t="s">
        <v>83</v>
      </c>
      <c r="R24" s="81">
        <v>0</v>
      </c>
      <c r="S24" s="17">
        <f>PRODUCTEURS!$A$25*R24</f>
        <v>0</v>
      </c>
      <c r="T24" s="81">
        <v>0</v>
      </c>
      <c r="U24" s="17">
        <f>PRODUCTEURS!$A$25*T24</f>
        <v>0</v>
      </c>
      <c r="V24" s="81">
        <v>0</v>
      </c>
      <c r="W24" s="17">
        <f>PRODUCTEURS!$A$25*V24</f>
        <v>0</v>
      </c>
      <c r="X24" s="81">
        <v>0</v>
      </c>
      <c r="Y24" s="17">
        <f>PRODUCTEURS!$A$25*X24</f>
        <v>0</v>
      </c>
      <c r="Z24" s="81">
        <v>0</v>
      </c>
      <c r="AA24" s="17">
        <f>PRODUCTEURS!$A$25*Z24</f>
        <v>0</v>
      </c>
      <c r="AB24" s="81">
        <v>0</v>
      </c>
      <c r="AC24" s="17">
        <f>PRODUCTEURS!$A$25*AB24</f>
        <v>0</v>
      </c>
      <c r="AD24" s="153"/>
      <c r="AE24" s="101"/>
    </row>
    <row r="25" spans="1:31" ht="12.75" customHeight="1" x14ac:dyDescent="0.25">
      <c r="A25" s="107" t="s">
        <v>84</v>
      </c>
      <c r="B25" s="121">
        <f>B22</f>
        <v>1</v>
      </c>
      <c r="C25" s="17">
        <f>CONSOMMATEURS!$A$13*B25/4</f>
        <v>0.4291666666666667</v>
      </c>
      <c r="D25" s="121">
        <f>D22</f>
        <v>2</v>
      </c>
      <c r="E25" s="17">
        <f>CONSOMMATEURS!$A$13*D25/4</f>
        <v>0.85833333333333339</v>
      </c>
      <c r="F25" s="121">
        <f>F22</f>
        <v>2</v>
      </c>
      <c r="G25" s="17">
        <f>CONSOMMATEURS!$A$13*F25/4</f>
        <v>0.85833333333333339</v>
      </c>
      <c r="H25" s="121">
        <f>H22</f>
        <v>1</v>
      </c>
      <c r="I25" s="17">
        <f>CONSOMMATEURS!$A$13*H25/4</f>
        <v>0.4291666666666667</v>
      </c>
      <c r="J25" s="121">
        <f>J22</f>
        <v>2</v>
      </c>
      <c r="K25" s="17">
        <f>CONSOMMATEURS!$A$13*J25/4</f>
        <v>0.85833333333333339</v>
      </c>
      <c r="L25" s="121">
        <f>L22</f>
        <v>2</v>
      </c>
      <c r="M25" s="17">
        <f>CONSOMMATEURS!$A$13*L25/4</f>
        <v>0.85833333333333339</v>
      </c>
      <c r="N25" s="121">
        <f>N22</f>
        <v>0.5</v>
      </c>
      <c r="O25" s="17">
        <f>CONSOMMATEURS!$A$13*N25/4</f>
        <v>0.21458333333333335</v>
      </c>
      <c r="P25" s="42"/>
      <c r="Q25" s="88" t="s">
        <v>85</v>
      </c>
      <c r="R25" s="81">
        <v>0</v>
      </c>
      <c r="S25" s="17">
        <f>PRODUCTEURS!$A$26*R25</f>
        <v>0</v>
      </c>
      <c r="T25" s="81">
        <v>0</v>
      </c>
      <c r="U25" s="17">
        <f>PRODUCTEURS!$A$26*T25</f>
        <v>0</v>
      </c>
      <c r="V25" s="81">
        <v>0</v>
      </c>
      <c r="W25" s="17">
        <f>PRODUCTEURS!$A$26*V25</f>
        <v>0</v>
      </c>
      <c r="X25" s="81">
        <v>0</v>
      </c>
      <c r="Y25" s="17">
        <f>PRODUCTEURS!$A$26*X25</f>
        <v>0</v>
      </c>
      <c r="Z25" s="81">
        <v>0</v>
      </c>
      <c r="AA25" s="17">
        <f>PRODUCTEURS!$A$26*Z25</f>
        <v>0</v>
      </c>
      <c r="AB25" s="81">
        <v>0</v>
      </c>
      <c r="AC25" s="17">
        <f>PRODUCTEURS!$A$26*AB25</f>
        <v>0</v>
      </c>
      <c r="AD25" s="153"/>
      <c r="AE25" s="101"/>
    </row>
    <row r="26" spans="1:31" ht="6" customHeight="1" x14ac:dyDescent="0.3">
      <c r="B26" s="56"/>
      <c r="D26" s="119"/>
      <c r="F26" s="119"/>
      <c r="H26" s="119"/>
      <c r="J26" s="119"/>
      <c r="L26" s="119"/>
      <c r="N26" s="119"/>
      <c r="P26" s="42"/>
      <c r="Q26" s="43"/>
      <c r="R26" s="56"/>
      <c r="T26" s="56"/>
      <c r="V26" s="56"/>
      <c r="X26" s="56"/>
      <c r="Z26" s="56"/>
      <c r="AB26" s="56"/>
      <c r="AD26" s="42"/>
      <c r="AE26" s="45"/>
    </row>
    <row r="27" spans="1:31" ht="12.75" customHeight="1" x14ac:dyDescent="0.25">
      <c r="A27" s="107" t="s">
        <v>86</v>
      </c>
      <c r="B27" s="123">
        <v>2</v>
      </c>
      <c r="C27" s="17">
        <f>((CONSOMMATEURS!$A$13*0.25)*B27)</f>
        <v>0.85833333333333339</v>
      </c>
      <c r="D27" s="123">
        <v>2</v>
      </c>
      <c r="E27" s="17">
        <f>((CONSOMMATEURS!$A$13*0.25)*D27)</f>
        <v>0.85833333333333339</v>
      </c>
      <c r="F27" s="123">
        <v>2</v>
      </c>
      <c r="G27" s="17">
        <f>((CONSOMMATEURS!$A$13*0.25)*F27)</f>
        <v>0.85833333333333339</v>
      </c>
      <c r="H27" s="123">
        <v>2</v>
      </c>
      <c r="I27" s="17">
        <f>((CONSOMMATEURS!$A$13*0.25)*H27)</f>
        <v>0.85833333333333339</v>
      </c>
      <c r="J27" s="123">
        <v>2</v>
      </c>
      <c r="K27" s="17">
        <f>((CONSOMMATEURS!$A$13*0.25)*J27)</f>
        <v>0.85833333333333339</v>
      </c>
      <c r="L27" s="123">
        <v>2</v>
      </c>
      <c r="M27" s="17">
        <f>((CONSOMMATEURS!$A$13*0.25)*L27)</f>
        <v>0.85833333333333339</v>
      </c>
      <c r="N27" s="123">
        <v>0</v>
      </c>
      <c r="O27" s="17">
        <f>((CONSOMMATEURS!$A$13*0.25)*N27)</f>
        <v>0</v>
      </c>
      <c r="P27" s="42"/>
      <c r="Q27" s="88" t="s">
        <v>87</v>
      </c>
      <c r="R27" s="81"/>
      <c r="S27" s="17">
        <f>PRODUCTEURS!$A$23*R27</f>
        <v>0</v>
      </c>
      <c r="T27" s="81">
        <v>0</v>
      </c>
      <c r="U27" s="17">
        <f>PRODUCTEURS!$A$23*T27</f>
        <v>0</v>
      </c>
      <c r="V27" s="81">
        <v>0</v>
      </c>
      <c r="W27" s="17">
        <f>PRODUCTEURS!$A$23*V27</f>
        <v>0</v>
      </c>
      <c r="X27" s="81">
        <v>0</v>
      </c>
      <c r="Y27" s="17">
        <f>PRODUCTEURS!$A$23*X27</f>
        <v>0</v>
      </c>
      <c r="Z27" s="81">
        <v>0</v>
      </c>
      <c r="AA27" s="17">
        <f>PRODUCTEURS!$A$23*Z27</f>
        <v>0</v>
      </c>
      <c r="AB27" s="81">
        <v>0</v>
      </c>
      <c r="AC27" s="17">
        <f>PRODUCTEURS!$A$23*AB27</f>
        <v>0</v>
      </c>
      <c r="AD27" s="153"/>
      <c r="AE27" s="101"/>
    </row>
    <row r="28" spans="1:31" ht="6" customHeight="1" x14ac:dyDescent="0.25">
      <c r="B28" s="56"/>
      <c r="D28" s="119"/>
      <c r="F28" s="119"/>
      <c r="H28" s="119"/>
      <c r="J28" s="119"/>
      <c r="L28" s="119"/>
      <c r="N28" s="42"/>
      <c r="P28" s="42"/>
      <c r="Q28" s="88"/>
      <c r="R28" s="56"/>
      <c r="T28" s="56"/>
      <c r="V28" s="56"/>
      <c r="X28" s="56"/>
      <c r="Z28" s="56"/>
      <c r="AB28" s="56"/>
      <c r="AD28" s="42"/>
      <c r="AE28" s="45"/>
    </row>
    <row r="29" spans="1:31" ht="12.75" customHeight="1" x14ac:dyDescent="0.25">
      <c r="A29" s="107" t="s">
        <v>88</v>
      </c>
      <c r="B29" s="121"/>
      <c r="C29" s="122"/>
      <c r="D29" s="121"/>
      <c r="E29" s="122"/>
      <c r="F29" s="121"/>
      <c r="G29" s="122"/>
      <c r="H29" s="121"/>
      <c r="I29" s="122"/>
      <c r="J29" s="121"/>
      <c r="K29" s="122"/>
      <c r="L29" s="121"/>
      <c r="M29" s="122"/>
      <c r="N29" s="124"/>
      <c r="O29" s="122"/>
      <c r="P29" s="42"/>
      <c r="Q29" s="88" t="s">
        <v>89</v>
      </c>
      <c r="R29" s="81">
        <v>0</v>
      </c>
      <c r="S29" s="17">
        <f>PRODUCTEURS!$A$21*R29</f>
        <v>0</v>
      </c>
      <c r="T29" s="81">
        <v>0</v>
      </c>
      <c r="U29" s="17">
        <f>PRODUCTEURS!$A$21*T29</f>
        <v>0</v>
      </c>
      <c r="V29" s="81">
        <v>0</v>
      </c>
      <c r="W29" s="17">
        <f>PRODUCTEURS!$A$21*V29</f>
        <v>0</v>
      </c>
      <c r="X29" s="81">
        <v>0</v>
      </c>
      <c r="Y29" s="17">
        <f>PRODUCTEURS!$A$21*X29</f>
        <v>0</v>
      </c>
      <c r="Z29" s="81">
        <v>0</v>
      </c>
      <c r="AA29" s="17">
        <f>PRODUCTEURS!$A$21*Z29</f>
        <v>0</v>
      </c>
      <c r="AB29" s="81">
        <v>0</v>
      </c>
      <c r="AC29" s="17">
        <f>PRODUCTEURS!$A$21*AB29</f>
        <v>0</v>
      </c>
      <c r="AD29" s="153"/>
      <c r="AE29" s="101"/>
    </row>
    <row r="30" spans="1:31" ht="12.75" customHeight="1" x14ac:dyDescent="0.25">
      <c r="A30" s="107" t="s">
        <v>114</v>
      </c>
      <c r="B30" s="119">
        <v>0</v>
      </c>
      <c r="C30" s="17">
        <f>(150/220)*B30</f>
        <v>0</v>
      </c>
      <c r="D30" s="119">
        <v>1</v>
      </c>
      <c r="E30" s="17">
        <f>(150/220)*D30</f>
        <v>0.68181818181818177</v>
      </c>
      <c r="F30" s="119">
        <v>0</v>
      </c>
      <c r="G30" s="17">
        <f>(150/220)*F30</f>
        <v>0</v>
      </c>
      <c r="H30" s="119">
        <v>0</v>
      </c>
      <c r="I30" s="17">
        <f>(150/220)*H30</f>
        <v>0</v>
      </c>
      <c r="J30" s="119">
        <v>0</v>
      </c>
      <c r="K30" s="17">
        <f>(150/220)*J30</f>
        <v>0</v>
      </c>
      <c r="L30" s="119">
        <v>0</v>
      </c>
      <c r="M30" s="17">
        <f>(150/220)*L30</f>
        <v>0</v>
      </c>
      <c r="N30" s="119">
        <v>0</v>
      </c>
      <c r="O30" s="17">
        <f>(150/220)*N30</f>
        <v>0</v>
      </c>
      <c r="P30" s="42"/>
      <c r="Q30" s="88" t="s">
        <v>91</v>
      </c>
      <c r="R30" s="81">
        <v>0</v>
      </c>
      <c r="S30" s="17">
        <f>PRODUCTEURS!$A$17*R30</f>
        <v>0</v>
      </c>
      <c r="T30" s="81">
        <v>0</v>
      </c>
      <c r="U30" s="17">
        <f>PRODUCTEURS!$A$17*T30</f>
        <v>0</v>
      </c>
      <c r="V30" s="81">
        <v>0</v>
      </c>
      <c r="W30" s="17">
        <f>PRODUCTEURS!$A$17*V30</f>
        <v>0</v>
      </c>
      <c r="X30" s="81">
        <v>0</v>
      </c>
      <c r="Y30" s="17">
        <f>PRODUCTEURS!$A$17*X30</f>
        <v>0</v>
      </c>
      <c r="Z30" s="81">
        <v>0</v>
      </c>
      <c r="AA30" s="17">
        <f>PRODUCTEURS!$A$17*Z30</f>
        <v>0</v>
      </c>
      <c r="AB30" s="81">
        <v>0</v>
      </c>
      <c r="AC30" s="17">
        <f>PRODUCTEURS!$A$17*AB30</f>
        <v>0</v>
      </c>
      <c r="AD30" s="153"/>
      <c r="AE30" s="101"/>
    </row>
    <row r="31" spans="1:31" ht="12.75" customHeight="1" x14ac:dyDescent="0.25">
      <c r="A31" s="107" t="s">
        <v>92</v>
      </c>
      <c r="B31" s="119">
        <v>0</v>
      </c>
      <c r="C31" s="16">
        <f>CONSOMMATEURS!$A$7*B31</f>
        <v>0</v>
      </c>
      <c r="D31" s="119">
        <v>0</v>
      </c>
      <c r="E31" s="16">
        <f>CONSOMMATEURS!$A$7*D31</f>
        <v>0</v>
      </c>
      <c r="F31" s="119">
        <v>0</v>
      </c>
      <c r="G31" s="16">
        <f>CONSOMMATEURS!$A$7*F31</f>
        <v>0</v>
      </c>
      <c r="H31" s="119">
        <v>0</v>
      </c>
      <c r="I31" s="16">
        <f>CONSOMMATEURS!$A$7*H31</f>
        <v>0</v>
      </c>
      <c r="J31" s="119">
        <v>0</v>
      </c>
      <c r="K31" s="16">
        <f>CONSOMMATEURS!$A$7*J31</f>
        <v>0</v>
      </c>
      <c r="L31" s="119">
        <v>0</v>
      </c>
      <c r="M31" s="16">
        <f>CONSOMMATEURS!$A$7*L31</f>
        <v>0</v>
      </c>
      <c r="N31" s="119">
        <v>0</v>
      </c>
      <c r="O31" s="16">
        <f>CONSOMMATEURS!$A$7*N31</f>
        <v>0</v>
      </c>
      <c r="P31" s="42"/>
      <c r="Q31" s="88" t="s">
        <v>93</v>
      </c>
      <c r="R31" s="81">
        <v>0</v>
      </c>
      <c r="S31" s="17">
        <f>PRODUCTEURS!$A$18*R31</f>
        <v>0</v>
      </c>
      <c r="T31" s="81">
        <v>0</v>
      </c>
      <c r="U31" s="17">
        <f>PRODUCTEURS!$A$18*T31</f>
        <v>0</v>
      </c>
      <c r="V31" s="81">
        <v>0</v>
      </c>
      <c r="W31" s="17">
        <f>PRODUCTEURS!$A$18*V31</f>
        <v>0</v>
      </c>
      <c r="X31" s="81">
        <v>0</v>
      </c>
      <c r="Y31" s="17">
        <f>PRODUCTEURS!$A$18*X31</f>
        <v>0</v>
      </c>
      <c r="Z31" s="81">
        <v>0</v>
      </c>
      <c r="AA31" s="17">
        <f>PRODUCTEURS!$A$18*Z31</f>
        <v>0</v>
      </c>
      <c r="AB31" s="81">
        <v>0</v>
      </c>
      <c r="AC31" s="17">
        <f>PRODUCTEURS!$A$18*AB31</f>
        <v>0</v>
      </c>
      <c r="AD31" s="153"/>
      <c r="AE31" s="101"/>
    </row>
    <row r="32" spans="1:31" ht="12.75" customHeight="1" x14ac:dyDescent="0.25">
      <c r="A32" s="107" t="s">
        <v>94</v>
      </c>
      <c r="B32" s="56"/>
      <c r="D32" s="119"/>
      <c r="F32" s="119"/>
      <c r="H32" s="119"/>
      <c r="J32" s="119"/>
      <c r="L32" s="119"/>
      <c r="N32" s="42"/>
      <c r="P32" s="42"/>
      <c r="Q32" s="88" t="s">
        <v>95</v>
      </c>
      <c r="R32" s="81">
        <v>0</v>
      </c>
      <c r="S32" s="17">
        <f>PRODUCTEURS!$A$19*R32</f>
        <v>0</v>
      </c>
      <c r="T32" s="81">
        <v>0</v>
      </c>
      <c r="U32" s="17">
        <f>PRODUCTEURS!$A$19*T32</f>
        <v>0</v>
      </c>
      <c r="V32" s="81">
        <v>0</v>
      </c>
      <c r="W32" s="17">
        <f>PRODUCTEURS!$A$19*V32</f>
        <v>0</v>
      </c>
      <c r="X32" s="81">
        <v>0</v>
      </c>
      <c r="Y32" s="17">
        <f>PRODUCTEURS!$A$19*X32</f>
        <v>0</v>
      </c>
      <c r="Z32" s="81">
        <v>0</v>
      </c>
      <c r="AA32" s="17">
        <f>PRODUCTEURS!$A$19*Z32</f>
        <v>0</v>
      </c>
      <c r="AB32" s="81">
        <v>0</v>
      </c>
      <c r="AC32" s="17">
        <f>PRODUCTEURS!$A$19*AB32</f>
        <v>0</v>
      </c>
      <c r="AD32" s="153"/>
      <c r="AE32" s="101"/>
    </row>
    <row r="33" spans="1:31" ht="8.25" customHeight="1" x14ac:dyDescent="0.25">
      <c r="B33" s="56"/>
      <c r="D33" s="56"/>
      <c r="F33" s="56"/>
      <c r="H33" s="56"/>
      <c r="J33" s="56"/>
      <c r="L33" s="56"/>
      <c r="N33" s="42"/>
      <c r="P33" s="42"/>
      <c r="Q33" s="124"/>
      <c r="R33" s="124"/>
      <c r="S33" s="125">
        <f>SUM(S8:S32)</f>
        <v>134.66666666666666</v>
      </c>
      <c r="T33" s="124"/>
      <c r="U33" s="125">
        <f>SUM(U8:U32)</f>
        <v>104.30249999999998</v>
      </c>
      <c r="V33" s="126"/>
      <c r="W33" s="125">
        <f>SUM(W8:W32)</f>
        <v>76.484015151515138</v>
      </c>
      <c r="X33" s="126"/>
      <c r="Y33" s="125">
        <f>SUM(Y8:Y32)</f>
        <v>205.18068181818182</v>
      </c>
      <c r="Z33" s="127"/>
      <c r="AA33" s="125">
        <f>SUM(AA8:AA32)</f>
        <v>137.95916666666665</v>
      </c>
      <c r="AB33" s="126"/>
      <c r="AC33" s="125">
        <f>SUM(AC8:AC32)</f>
        <v>121.65583333333333</v>
      </c>
      <c r="AD33" s="126"/>
      <c r="AE33" s="128">
        <f>SUM(AE8:AE32)</f>
        <v>238.68583333333333</v>
      </c>
    </row>
    <row r="34" spans="1:31" ht="15.75" customHeight="1" x14ac:dyDescent="0.25">
      <c r="A34" s="129" t="s">
        <v>115</v>
      </c>
      <c r="B34" s="124"/>
      <c r="C34" s="130">
        <f>SUM(C9:C32)</f>
        <v>24.747499999999999</v>
      </c>
      <c r="D34" s="124"/>
      <c r="E34" s="130">
        <f>SUM(E9:E32)</f>
        <v>31.31848484848485</v>
      </c>
      <c r="F34" s="131"/>
      <c r="G34" s="130">
        <f>SUM(G9:G32)</f>
        <v>35.636666666666663</v>
      </c>
      <c r="H34" s="131"/>
      <c r="I34" s="130">
        <f>SUM(I9:I32)</f>
        <v>26.057500000000001</v>
      </c>
      <c r="J34" s="131"/>
      <c r="K34" s="130">
        <f>SUM(K9:K32)</f>
        <v>13.636666666666667</v>
      </c>
      <c r="L34" s="131"/>
      <c r="M34" s="130">
        <f>SUM(M9:M32)</f>
        <v>46.303333333333335</v>
      </c>
      <c r="N34" s="162"/>
      <c r="O34" s="130">
        <f>SUM(O9:O32)</f>
        <v>9.6762499999999996</v>
      </c>
      <c r="P34" s="42"/>
      <c r="Q34" s="132" t="s">
        <v>116</v>
      </c>
      <c r="R34" s="122"/>
      <c r="S34" s="133">
        <f>IF(S33&gt;$S$13,$S$13,S33)</f>
        <v>134.66666666666666</v>
      </c>
      <c r="T34" s="124"/>
      <c r="U34" s="133">
        <f>IF(U33&gt;$S$13,$S$13,U33)</f>
        <v>104.30249999999998</v>
      </c>
      <c r="V34" s="124"/>
      <c r="W34" s="133">
        <f>IF(W33&gt;$S$13,$S$13,W33)</f>
        <v>76.484015151515138</v>
      </c>
      <c r="X34" s="124"/>
      <c r="Y34" s="133">
        <f>IF(Y33&gt;$S$13,$S$13,Y33)</f>
        <v>153</v>
      </c>
      <c r="Z34" s="124"/>
      <c r="AA34" s="133">
        <f>IF(AA33&gt;$S$13,$S$13,AA33)</f>
        <v>137.95916666666665</v>
      </c>
      <c r="AB34" s="124"/>
      <c r="AC34" s="133">
        <f>IF(AC33&gt;$S$13,$S$13,AC33)</f>
        <v>121.65583333333333</v>
      </c>
      <c r="AD34" s="124"/>
      <c r="AE34" s="135">
        <f>IF(AE33&gt;$S$13,$S$13,AE33)</f>
        <v>153</v>
      </c>
    </row>
    <row r="35" spans="1:31" ht="15.75" customHeight="1" x14ac:dyDescent="0.25">
      <c r="A35" s="35"/>
      <c r="B35" s="42"/>
      <c r="C35" s="136"/>
      <c r="D35" s="42"/>
      <c r="E35" s="136"/>
      <c r="F35" s="137"/>
      <c r="G35" s="138"/>
      <c r="H35" s="137"/>
      <c r="I35" s="136"/>
      <c r="J35" s="137"/>
      <c r="K35" s="138"/>
      <c r="L35" s="137"/>
      <c r="M35" s="136"/>
      <c r="N35" s="163"/>
      <c r="O35" s="136"/>
      <c r="P35" s="42"/>
      <c r="Q35" s="139" t="s">
        <v>98</v>
      </c>
      <c r="R35" s="183">
        <f>S34-C34+C37</f>
        <v>115.96916666666665</v>
      </c>
      <c r="S35" s="183"/>
      <c r="T35" s="183">
        <f>U34-E34+E37</f>
        <v>81.484015151515138</v>
      </c>
      <c r="U35" s="183"/>
      <c r="V35" s="183">
        <f>W34-G34+G37</f>
        <v>48.514015151515139</v>
      </c>
      <c r="W35" s="183"/>
      <c r="X35" s="183">
        <f>Y34-I34+I37</f>
        <v>136.29249999999999</v>
      </c>
      <c r="Y35" s="183"/>
      <c r="Z35" s="183">
        <f>AA34-K34+K37</f>
        <v>133.32249999999999</v>
      </c>
      <c r="AA35" s="183"/>
      <c r="AB35" s="183">
        <f>AC34-M34+M37</f>
        <v>88.685833333333321</v>
      </c>
      <c r="AC35" s="183"/>
      <c r="AD35" s="183">
        <f>AE34-O34+O37</f>
        <v>143.32374999999999</v>
      </c>
      <c r="AE35" s="183"/>
    </row>
    <row r="36" spans="1:31" ht="15" customHeight="1" x14ac:dyDescent="0.25">
      <c r="Q36" s="140" t="s">
        <v>14</v>
      </c>
    </row>
    <row r="37" spans="1:31" x14ac:dyDescent="0.25">
      <c r="A37" s="141" t="s">
        <v>99</v>
      </c>
      <c r="B37" s="17"/>
      <c r="C37" s="142">
        <f>(C11-C12)+C14+C16+C17</f>
        <v>6.05</v>
      </c>
      <c r="D37" s="17"/>
      <c r="E37" s="142">
        <f>(E11-E12)+E14+E16+E17</f>
        <v>8.5</v>
      </c>
      <c r="F37" s="17"/>
      <c r="G37" s="142">
        <f>(G11-G12)+G14+G16+G17</f>
        <v>7.6666666666666661</v>
      </c>
      <c r="H37" s="17"/>
      <c r="I37" s="142">
        <f>(I11-I12)+I14+I16+I17</f>
        <v>9.35</v>
      </c>
      <c r="J37" s="17"/>
      <c r="K37" s="142">
        <f>(K11-K12)+K14+K16+K17</f>
        <v>9</v>
      </c>
      <c r="L37" s="17"/>
      <c r="M37" s="142">
        <f>(M11-M12)+M14+M16+M17</f>
        <v>13.333333333333332</v>
      </c>
    </row>
  </sheetData>
  <sheetProtection selectLockedCells="1" selectUnlockedCells="1"/>
  <mergeCells count="45">
    <mergeCell ref="AD35:AE35"/>
    <mergeCell ref="R35:S35"/>
    <mergeCell ref="T35:U35"/>
    <mergeCell ref="V35:W35"/>
    <mergeCell ref="X35:Y35"/>
    <mergeCell ref="Z35:AA35"/>
    <mergeCell ref="AB35:AC35"/>
    <mergeCell ref="T6:U6"/>
    <mergeCell ref="V6:W6"/>
    <mergeCell ref="X6:Y6"/>
    <mergeCell ref="Z6:AA6"/>
    <mergeCell ref="AB6:AC6"/>
    <mergeCell ref="AD6:AE6"/>
    <mergeCell ref="T5:U5"/>
    <mergeCell ref="V5:W5"/>
    <mergeCell ref="X5:Y5"/>
    <mergeCell ref="Z5:AA5"/>
    <mergeCell ref="AB5:AC5"/>
    <mergeCell ref="AD5:AE5"/>
    <mergeCell ref="AB4:AC4"/>
    <mergeCell ref="AD4:AE4"/>
    <mergeCell ref="B5:C5"/>
    <mergeCell ref="D5:E5"/>
    <mergeCell ref="F5:G5"/>
    <mergeCell ref="H5:I5"/>
    <mergeCell ref="J5:K5"/>
    <mergeCell ref="L5:M5"/>
    <mergeCell ref="N5:O5"/>
    <mergeCell ref="R5:S5"/>
    <mergeCell ref="N4:O4"/>
    <mergeCell ref="R4:S4"/>
    <mergeCell ref="T4:U4"/>
    <mergeCell ref="V4:W4"/>
    <mergeCell ref="X4:Y4"/>
    <mergeCell ref="Z4:AA4"/>
    <mergeCell ref="A1:AE1"/>
    <mergeCell ref="A2:AE2"/>
    <mergeCell ref="A3:M3"/>
    <mergeCell ref="Q3:AE3"/>
    <mergeCell ref="B4:C4"/>
    <mergeCell ref="D4:E4"/>
    <mergeCell ref="F4:G4"/>
    <mergeCell ref="H4:I4"/>
    <mergeCell ref="J4:K4"/>
    <mergeCell ref="L4:M4"/>
  </mergeCells>
  <hyperlinks>
    <hyperlink ref="Q36" location="ACCUEIL!A1" display="RETOUR PAGE ACCUEIL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CONSOMMATEURS</vt:lpstr>
      <vt:lpstr>PRODUCTEURS</vt:lpstr>
      <vt:lpstr>AUTONOMIE HIVER</vt:lpstr>
      <vt:lpstr>AUTONOMIE 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</dc:creator>
  <cp:lastModifiedBy>Jean Louis</cp:lastModifiedBy>
  <dcterms:created xsi:type="dcterms:W3CDTF">2020-03-31T09:02:55Z</dcterms:created>
  <dcterms:modified xsi:type="dcterms:W3CDTF">2020-03-31T09:02:56Z</dcterms:modified>
</cp:coreProperties>
</file>